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00\Desktop\LIGA POMMSAE\tercera jornada\"/>
    </mc:Choice>
  </mc:AlternateContent>
  <bookViews>
    <workbookView xWindow="0" yWindow="0" windowWidth="20490" windowHeight="7755" firstSheet="27" activeTab="32"/>
  </bookViews>
  <sheets>
    <sheet name="PRE INF M" sheetId="17" r:id="rId1"/>
    <sheet name="PRE INF F" sheetId="18" r:id="rId2"/>
    <sheet name="INF A1 F" sheetId="15" r:id="rId3"/>
    <sheet name="INF A1 M" sheetId="16" r:id="rId4"/>
    <sheet name="INF A2 F" sheetId="11" r:id="rId5"/>
    <sheet name="INF A2 M" sheetId="10" r:id="rId6"/>
    <sheet name="INF A3 M" sheetId="12" r:id="rId7"/>
    <sheet name="INF A3 F" sheetId="42" r:id="rId8"/>
    <sheet name="INF B1 F" sheetId="9" r:id="rId9"/>
    <sheet name="INF B1 M" sheetId="8" r:id="rId10"/>
    <sheet name="INF B2 M" sheetId="7" r:id="rId11"/>
    <sheet name="INF B2 F" sheetId="6" r:id="rId12"/>
    <sheet name="INF B3 M" sheetId="5" r:id="rId13"/>
    <sheet name="INF B3 F" sheetId="43" r:id="rId14"/>
    <sheet name="INF C1 M" sheetId="19" r:id="rId15"/>
    <sheet name="INF C1 F" sheetId="20" r:id="rId16"/>
    <sheet name="INF C2 F" sheetId="24" r:id="rId17"/>
    <sheet name="INF C2 M" sheetId="23" r:id="rId18"/>
    <sheet name="INF C3 F" sheetId="25" r:id="rId19"/>
    <sheet name="INF C3 M" sheetId="21" r:id="rId20"/>
    <sheet name="INF C4 M" sheetId="22" r:id="rId21"/>
    <sheet name="INF D1 M" sheetId="30" r:id="rId22"/>
    <sheet name="INF D1 F" sheetId="32" r:id="rId23"/>
    <sheet name="INF D2 M" sheetId="31" r:id="rId24"/>
    <sheet name="INF D2 F" sheetId="33" r:id="rId25"/>
    <sheet name="INF D3 F" sheetId="37" r:id="rId26"/>
    <sheet name="INF D3 M" sheetId="35" r:id="rId27"/>
    <sheet name="INF D4 F" sheetId="36" r:id="rId28"/>
    <sheet name="INF D4 M" sheetId="34" r:id="rId29"/>
    <sheet name="INF PAR A1" sheetId="14" r:id="rId30"/>
    <sheet name="INF PAR B1" sheetId="2" r:id="rId31"/>
    <sheet name="INF PAR B2" sheetId="3" r:id="rId32"/>
    <sheet name="INF PAR C1" sheetId="27" r:id="rId33"/>
    <sheet name="INF PAR C2" sheetId="26" r:id="rId34"/>
    <sheet name="INF PAR D1" sheetId="38" r:id="rId35"/>
    <sheet name="INF PAR D2" sheetId="39" r:id="rId36"/>
    <sheet name="INF TRIO A1" sheetId="13" r:id="rId37"/>
    <sheet name="INF TRIO B1" sheetId="1" r:id="rId38"/>
    <sheet name="INF TRIO B2" sheetId="4" r:id="rId39"/>
    <sheet name="INF TRIO C1" sheetId="28" r:id="rId40"/>
    <sheet name="INF TRIO C2" sheetId="29" r:id="rId41"/>
    <sheet name="INF TRIO D1" sheetId="40" r:id="rId42"/>
    <sheet name="INF TRIO D2" sheetId="41" r:id="rId43"/>
  </sheets>
  <definedNames>
    <definedName name="_xlnm._FilterDatabase" localSheetId="1" hidden="1">'PRE INF F'!$A$5:$O$30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7" l="1"/>
  <c r="J7" i="27"/>
  <c r="I7" i="27"/>
  <c r="Q8" i="41" l="1"/>
  <c r="Q6" i="41"/>
  <c r="Q7" i="41"/>
  <c r="Q10" i="41"/>
  <c r="Q11" i="41"/>
  <c r="Q9" i="41"/>
  <c r="Q6" i="40"/>
  <c r="Q7" i="40"/>
  <c r="Q8" i="40"/>
  <c r="Q9" i="40"/>
  <c r="Q8" i="29"/>
  <c r="Q7" i="29"/>
  <c r="Q9" i="29"/>
  <c r="Q10" i="29"/>
  <c r="Q6" i="29"/>
  <c r="O9" i="27"/>
  <c r="M9" i="27"/>
  <c r="N9" i="27"/>
  <c r="Q6" i="28" l="1"/>
  <c r="Q8" i="28"/>
  <c r="Q11" i="28"/>
  <c r="Q9" i="28"/>
  <c r="Q16" i="28"/>
  <c r="Q12" i="28"/>
  <c r="Q17" i="28"/>
  <c r="Q13" i="28"/>
  <c r="Q14" i="28"/>
  <c r="Q18" i="28"/>
  <c r="Q19" i="28"/>
  <c r="Q10" i="28"/>
  <c r="Q15" i="28"/>
  <c r="Q7" i="28"/>
  <c r="Q7" i="4"/>
  <c r="Q6" i="4"/>
  <c r="Q6" i="1"/>
  <c r="Q12" i="1"/>
  <c r="Q7" i="1"/>
  <c r="Q9" i="1"/>
  <c r="Q10" i="1"/>
  <c r="Q11" i="1"/>
  <c r="Q14" i="1"/>
  <c r="Q13" i="1"/>
  <c r="Q15" i="1"/>
  <c r="Q17" i="1"/>
  <c r="Q16" i="1"/>
  <c r="Q18" i="1"/>
  <c r="Q8" i="1"/>
  <c r="Q7" i="13"/>
  <c r="Q10" i="13"/>
  <c r="Q8" i="13"/>
  <c r="Q11" i="13"/>
  <c r="Q9" i="13"/>
  <c r="Q12" i="13"/>
  <c r="Q13" i="13"/>
  <c r="Q6" i="13"/>
  <c r="Q10" i="39"/>
  <c r="Q11" i="39"/>
  <c r="Q8" i="39"/>
  <c r="Q7" i="39"/>
  <c r="Q15" i="39"/>
  <c r="Q9" i="39"/>
  <c r="Q13" i="39"/>
  <c r="Q14" i="39"/>
  <c r="Q12" i="39"/>
  <c r="Q16" i="39"/>
  <c r="Q17" i="39"/>
  <c r="Q18" i="39"/>
  <c r="Q19" i="39"/>
  <c r="Q6" i="39"/>
  <c r="Q8" i="38" l="1"/>
  <c r="Q9" i="38"/>
  <c r="Q7" i="38"/>
  <c r="Q14" i="38"/>
  <c r="Q13" i="38"/>
  <c r="Q11" i="38"/>
  <c r="Q15" i="38"/>
  <c r="Q18" i="38"/>
  <c r="Q10" i="38"/>
  <c r="Q12" i="38"/>
  <c r="Q16" i="38"/>
  <c r="Q17" i="38"/>
  <c r="Q6" i="38"/>
  <c r="Q9" i="26"/>
  <c r="Q10" i="26"/>
  <c r="Q8" i="26"/>
  <c r="Q12" i="26"/>
  <c r="Q14" i="26"/>
  <c r="Q13" i="26"/>
  <c r="Q16" i="26"/>
  <c r="Q17" i="26"/>
  <c r="Q7" i="26"/>
  <c r="Q11" i="26"/>
  <c r="Q15" i="26"/>
  <c r="Q18" i="26"/>
  <c r="Q6" i="26"/>
  <c r="Q8" i="27"/>
  <c r="Q6" i="27"/>
  <c r="Q12" i="27"/>
  <c r="Q10" i="27"/>
  <c r="Q15" i="27"/>
  <c r="Q11" i="27"/>
  <c r="Q13" i="27"/>
  <c r="Q25" i="27"/>
  <c r="Q14" i="27"/>
  <c r="Q17" i="27"/>
  <c r="Q16" i="27"/>
  <c r="Q26" i="27"/>
  <c r="Q27" i="27"/>
  <c r="Q18" i="27"/>
  <c r="Q28" i="27"/>
  <c r="Q29" i="27"/>
  <c r="Q21" i="27"/>
  <c r="Q9" i="27"/>
  <c r="Q23" i="27"/>
  <c r="Q24" i="27"/>
  <c r="Q19" i="27"/>
  <c r="Q20" i="27"/>
  <c r="Q22" i="27"/>
  <c r="Q30" i="27"/>
  <c r="Q31" i="27"/>
  <c r="Q32" i="27"/>
  <c r="Q33" i="27"/>
  <c r="Q34" i="27"/>
  <c r="Q7" i="27"/>
  <c r="Q7" i="3"/>
  <c r="Q8" i="3"/>
  <c r="Q10" i="3"/>
  <c r="Q9" i="3"/>
  <c r="Q11" i="3"/>
  <c r="Q6" i="3"/>
  <c r="Q9" i="2"/>
  <c r="Q6" i="2"/>
  <c r="Q10" i="2"/>
  <c r="Q11" i="2"/>
  <c r="Q8" i="2"/>
  <c r="Q15" i="2"/>
  <c r="Q16" i="2"/>
  <c r="Q17" i="2"/>
  <c r="Q12" i="2"/>
  <c r="Q18" i="2"/>
  <c r="Q21" i="2"/>
  <c r="Q13" i="2"/>
  <c r="Q22" i="2"/>
  <c r="Q23" i="2"/>
  <c r="Q19" i="2"/>
  <c r="Q20" i="2"/>
  <c r="Q24" i="2"/>
  <c r="Q27" i="2"/>
  <c r="Q25" i="2"/>
  <c r="Q26" i="2"/>
  <c r="Q28" i="2"/>
  <c r="Q29" i="2"/>
  <c r="Q30" i="2"/>
  <c r="Q14" i="2"/>
  <c r="Q31" i="2"/>
  <c r="Q32" i="2"/>
  <c r="Q33" i="2"/>
  <c r="Q34" i="2"/>
  <c r="Q35" i="2"/>
  <c r="Q7" i="2"/>
  <c r="Q7" i="14"/>
  <c r="Q8" i="14"/>
  <c r="Q11" i="14"/>
  <c r="Q18" i="14"/>
  <c r="Q9" i="14"/>
  <c r="Q19" i="14"/>
  <c r="Q20" i="14"/>
  <c r="Q14" i="14"/>
  <c r="Q15" i="14"/>
  <c r="Q10" i="14"/>
  <c r="Q21" i="14"/>
  <c r="Q12" i="14"/>
  <c r="Q16" i="14"/>
  <c r="Q17" i="14"/>
  <c r="Q13" i="14"/>
  <c r="Q22" i="14"/>
  <c r="Q23" i="14"/>
  <c r="Q24" i="14"/>
  <c r="Q25" i="14"/>
  <c r="Q6" i="14"/>
  <c r="Q6" i="34"/>
  <c r="Q7" i="34"/>
  <c r="Q7" i="36"/>
  <c r="Q6" i="36"/>
  <c r="Q6" i="35"/>
  <c r="Q7" i="35"/>
  <c r="Q9" i="35"/>
  <c r="Q17" i="35"/>
  <c r="Q13" i="35"/>
  <c r="Q18" i="35"/>
  <c r="Q14" i="35"/>
  <c r="Q19" i="35"/>
  <c r="Q15" i="35"/>
  <c r="Q11" i="35"/>
  <c r="Q12" i="35"/>
  <c r="Q16" i="35"/>
  <c r="Q10" i="35"/>
  <c r="Q20" i="35"/>
  <c r="Q21" i="35"/>
  <c r="Q22" i="35"/>
  <c r="Q23" i="35"/>
  <c r="Q24" i="35"/>
  <c r="Q8" i="35"/>
  <c r="Q8" i="37"/>
  <c r="Q9" i="37"/>
  <c r="Q11" i="37"/>
  <c r="Q15" i="37"/>
  <c r="Q16" i="37"/>
  <c r="Q13" i="37"/>
  <c r="Q10" i="37"/>
  <c r="Q14" i="37"/>
  <c r="Q7" i="37"/>
  <c r="Q12" i="37"/>
  <c r="Q17" i="37"/>
  <c r="Q18" i="37"/>
  <c r="Q19" i="37"/>
  <c r="Q6" i="37"/>
  <c r="Q12" i="33"/>
  <c r="Q13" i="33"/>
  <c r="Q8" i="33"/>
  <c r="Q11" i="33"/>
  <c r="Q7" i="33"/>
  <c r="Q14" i="33"/>
  <c r="Q10" i="33"/>
  <c r="Q15" i="33"/>
  <c r="Q16" i="33"/>
  <c r="Q9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6" i="33"/>
  <c r="Q10" i="31"/>
  <c r="Q11" i="31"/>
  <c r="Q12" i="31"/>
  <c r="Q7" i="31"/>
  <c r="Q14" i="31"/>
  <c r="Q8" i="31"/>
  <c r="Q16" i="31"/>
  <c r="Q15" i="31"/>
  <c r="Q17" i="31"/>
  <c r="Q9" i="31"/>
  <c r="Q18" i="31"/>
  <c r="Q19" i="31"/>
  <c r="Q13" i="31"/>
  <c r="Q20" i="31"/>
  <c r="Q6" i="31"/>
  <c r="Q7" i="32"/>
  <c r="Q10" i="32"/>
  <c r="Q8" i="32"/>
  <c r="Q9" i="32"/>
  <c r="Q15" i="32"/>
  <c r="Q16" i="32"/>
  <c r="Q17" i="32"/>
  <c r="Q18" i="32"/>
  <c r="Q14" i="32"/>
  <c r="Q19" i="32"/>
  <c r="Q20" i="32"/>
  <c r="Q11" i="32"/>
  <c r="Q12" i="32"/>
  <c r="Q13" i="32"/>
  <c r="Q21" i="32"/>
  <c r="Q22" i="32"/>
  <c r="Q23" i="32"/>
  <c r="Q24" i="32"/>
  <c r="Q6" i="32"/>
  <c r="Q7" i="30"/>
  <c r="Q8" i="30"/>
  <c r="Q9" i="30"/>
  <c r="Q12" i="30"/>
  <c r="Q10" i="30"/>
  <c r="Q13" i="30"/>
  <c r="Q14" i="30"/>
  <c r="Q15" i="30"/>
  <c r="Q11" i="30"/>
  <c r="Q6" i="30"/>
  <c r="Q6" i="22"/>
  <c r="Q9" i="21"/>
  <c r="Q7" i="21"/>
  <c r="Q10" i="21"/>
  <c r="Q8" i="21"/>
  <c r="Q13" i="21"/>
  <c r="Q14" i="21"/>
  <c r="Q11" i="21"/>
  <c r="Q15" i="21"/>
  <c r="Q12" i="21"/>
  <c r="Q16" i="21"/>
  <c r="Q6" i="21"/>
  <c r="Q7" i="25"/>
  <c r="Q8" i="25"/>
  <c r="Q9" i="25"/>
  <c r="Q18" i="25"/>
  <c r="Q10" i="25"/>
  <c r="Q13" i="25"/>
  <c r="Q14" i="25"/>
  <c r="Q15" i="25"/>
  <c r="Q11" i="25"/>
  <c r="Q16" i="25"/>
  <c r="Q17" i="25"/>
  <c r="Q19" i="25"/>
  <c r="Q12" i="25"/>
  <c r="Q20" i="25"/>
  <c r="Q21" i="25"/>
  <c r="Q6" i="25"/>
  <c r="Q6" i="23"/>
  <c r="Q8" i="23"/>
  <c r="Q11" i="23"/>
  <c r="Q9" i="23"/>
  <c r="Q24" i="23"/>
  <c r="Q14" i="23"/>
  <c r="Q25" i="23"/>
  <c r="Q10" i="23"/>
  <c r="Q15" i="23"/>
  <c r="Q26" i="23"/>
  <c r="Q16" i="23"/>
  <c r="Q17" i="23"/>
  <c r="Q27" i="23"/>
  <c r="Q13" i="23"/>
  <c r="Q18" i="23"/>
  <c r="Q19" i="23"/>
  <c r="Q20" i="23"/>
  <c r="Q28" i="23"/>
  <c r="Q21" i="23"/>
  <c r="Q22" i="23"/>
  <c r="Q29" i="23"/>
  <c r="Q23" i="23"/>
  <c r="Q30" i="23"/>
  <c r="Q12" i="23"/>
  <c r="Q31" i="23"/>
  <c r="Q32" i="23"/>
  <c r="Q33" i="23"/>
  <c r="Q34" i="23"/>
  <c r="Q35" i="23"/>
  <c r="Q7" i="23"/>
  <c r="Q7" i="24"/>
  <c r="Q8" i="24"/>
  <c r="Q9" i="24"/>
  <c r="Q13" i="24"/>
  <c r="Q18" i="24"/>
  <c r="Q19" i="24"/>
  <c r="Q14" i="24"/>
  <c r="Q20" i="24"/>
  <c r="Q21" i="24"/>
  <c r="Q33" i="24"/>
  <c r="Q22" i="24"/>
  <c r="Q23" i="24"/>
  <c r="Q24" i="24"/>
  <c r="Q10" i="24"/>
  <c r="Q15" i="24"/>
  <c r="Q34" i="24"/>
  <c r="Q25" i="24"/>
  <c r="Q26" i="24"/>
  <c r="Q27" i="24"/>
  <c r="Q28" i="24"/>
  <c r="Q35" i="24"/>
  <c r="Q16" i="24"/>
  <c r="Q36" i="24"/>
  <c r="Q37" i="24"/>
  <c r="Q29" i="24"/>
  <c r="Q17" i="24"/>
  <c r="Q12" i="24"/>
  <c r="Q38" i="24"/>
  <c r="Q30" i="24"/>
  <c r="Q31" i="24"/>
  <c r="Q39" i="24"/>
  <c r="Q32" i="24"/>
  <c r="Q40" i="24"/>
  <c r="Q11" i="24"/>
  <c r="Q6" i="24"/>
  <c r="Q11" i="20"/>
  <c r="Q10" i="20"/>
  <c r="Q7" i="20"/>
  <c r="Q8" i="20"/>
  <c r="Q13" i="20"/>
  <c r="Q18" i="20"/>
  <c r="Q31" i="20"/>
  <c r="Q19" i="20"/>
  <c r="Q20" i="20"/>
  <c r="Q21" i="20"/>
  <c r="Q14" i="20"/>
  <c r="Q15" i="20"/>
  <c r="Q22" i="20"/>
  <c r="Q16" i="20"/>
  <c r="Q32" i="20"/>
  <c r="Q23" i="20"/>
  <c r="Q24" i="20"/>
  <c r="Q25" i="20"/>
  <c r="Q17" i="20"/>
  <c r="Q26" i="20"/>
  <c r="Q33" i="20"/>
  <c r="Q27" i="20"/>
  <c r="Q34" i="20"/>
  <c r="Q35" i="20"/>
  <c r="Q28" i="20"/>
  <c r="Q36" i="20"/>
  <c r="Q29" i="20"/>
  <c r="Q37" i="20"/>
  <c r="Q38" i="20"/>
  <c r="Q39" i="20"/>
  <c r="Q30" i="20"/>
  <c r="Q9" i="20"/>
  <c r="Q12" i="20"/>
  <c r="Q40" i="20"/>
  <c r="Q41" i="20"/>
  <c r="Q42" i="20"/>
  <c r="Q43" i="20"/>
  <c r="Q44" i="20"/>
  <c r="Q45" i="20"/>
  <c r="Q46" i="20"/>
  <c r="Q6" i="20"/>
  <c r="Q8" i="19"/>
  <c r="Q9" i="19"/>
  <c r="Q12" i="19"/>
  <c r="Q14" i="19"/>
  <c r="Q10" i="19"/>
  <c r="Q15" i="19"/>
  <c r="Q21" i="19"/>
  <c r="Q16" i="19"/>
  <c r="Q17" i="19"/>
  <c r="Q6" i="19"/>
  <c r="Q11" i="19"/>
  <c r="Q18" i="19"/>
  <c r="Q19" i="19"/>
  <c r="Q20" i="19"/>
  <c r="Q22" i="19"/>
  <c r="Q23" i="19"/>
  <c r="Q24" i="19"/>
  <c r="Q13" i="19"/>
  <c r="Q25" i="19"/>
  <c r="Q7" i="19"/>
  <c r="Q6" i="5"/>
  <c r="Q9" i="5"/>
  <c r="Q10" i="5"/>
  <c r="Q11" i="5"/>
  <c r="Q12" i="5"/>
  <c r="Q13" i="5"/>
  <c r="Q7" i="5"/>
  <c r="Q8" i="5"/>
  <c r="Q7" i="6"/>
  <c r="Q8" i="6"/>
  <c r="Q11" i="6"/>
  <c r="Q14" i="6"/>
  <c r="Q9" i="6"/>
  <c r="Q15" i="6"/>
  <c r="Q16" i="6"/>
  <c r="Q25" i="6"/>
  <c r="Q17" i="6"/>
  <c r="Q12" i="6"/>
  <c r="Q26" i="6"/>
  <c r="Q19" i="6"/>
  <c r="Q20" i="6"/>
  <c r="Q18" i="6"/>
  <c r="Q27" i="6"/>
  <c r="Q28" i="6"/>
  <c r="Q29" i="6"/>
  <c r="Q30" i="6"/>
  <c r="Q31" i="6"/>
  <c r="Q13" i="6"/>
  <c r="Q32" i="6"/>
  <c r="Q21" i="6"/>
  <c r="Q33" i="6"/>
  <c r="Q22" i="6"/>
  <c r="Q23" i="6"/>
  <c r="Q34" i="6"/>
  <c r="Q24" i="6"/>
  <c r="Q35" i="6"/>
  <c r="Q10" i="6"/>
  <c r="Q36" i="6"/>
  <c r="Q6" i="6"/>
  <c r="Q7" i="7"/>
  <c r="Q8" i="7"/>
  <c r="Q9" i="7"/>
  <c r="Q10" i="7"/>
  <c r="Q20" i="7"/>
  <c r="Q12" i="7"/>
  <c r="Q32" i="7"/>
  <c r="Q21" i="7"/>
  <c r="Q13" i="7"/>
  <c r="Q33" i="7"/>
  <c r="Q14" i="7"/>
  <c r="Q15" i="7"/>
  <c r="Q22" i="7"/>
  <c r="Q16" i="7"/>
  <c r="Q23" i="7"/>
  <c r="Q34" i="7"/>
  <c r="Q17" i="7"/>
  <c r="Q24" i="7"/>
  <c r="Q25" i="7"/>
  <c r="Q26" i="7"/>
  <c r="Q18" i="7"/>
  <c r="Q35" i="7"/>
  <c r="Q27" i="7"/>
  <c r="Q28" i="7"/>
  <c r="Q29" i="7"/>
  <c r="Q19" i="7"/>
  <c r="Q30" i="7"/>
  <c r="Q11" i="7"/>
  <c r="Q36" i="7"/>
  <c r="Q31" i="7"/>
  <c r="Q37" i="7"/>
  <c r="Q38" i="7"/>
  <c r="Q39" i="7"/>
  <c r="Q40" i="7"/>
  <c r="Q41" i="7"/>
  <c r="Q42" i="7"/>
  <c r="Q43" i="7"/>
  <c r="Q44" i="7"/>
  <c r="Q45" i="7"/>
  <c r="Q46" i="7"/>
  <c r="Q6" i="7"/>
  <c r="Q7" i="8"/>
  <c r="Q9" i="8"/>
  <c r="Q8" i="8"/>
  <c r="Q24" i="8"/>
  <c r="Q14" i="8"/>
  <c r="Q15" i="8"/>
  <c r="Q11" i="8"/>
  <c r="Q12" i="8"/>
  <c r="Q16" i="8"/>
  <c r="Q17" i="8"/>
  <c r="Q18" i="8"/>
  <c r="Q25" i="8"/>
  <c r="Q26" i="8"/>
  <c r="Q19" i="8"/>
  <c r="Q13" i="8"/>
  <c r="Q20" i="8"/>
  <c r="Q21" i="8"/>
  <c r="Q22" i="8"/>
  <c r="Q23" i="8"/>
  <c r="Q27" i="8"/>
  <c r="Q28" i="8"/>
  <c r="Q29" i="8"/>
  <c r="Q10" i="8"/>
  <c r="Q30" i="8"/>
  <c r="Q31" i="8"/>
  <c r="Q32" i="8"/>
  <c r="Q33" i="8"/>
  <c r="Q6" i="8"/>
  <c r="Q10" i="9"/>
  <c r="Q7" i="9"/>
  <c r="Q8" i="9"/>
  <c r="Q13" i="9"/>
  <c r="Q14" i="9"/>
  <c r="Q15" i="9"/>
  <c r="Q24" i="9"/>
  <c r="Q11" i="9"/>
  <c r="Q17" i="9"/>
  <c r="Q16" i="9"/>
  <c r="Q12" i="9"/>
  <c r="Q18" i="9"/>
  <c r="Q19" i="9"/>
  <c r="Q20" i="9"/>
  <c r="Q9" i="9"/>
  <c r="Q21" i="9"/>
  <c r="Q22" i="9"/>
  <c r="Q25" i="9"/>
  <c r="Q26" i="9"/>
  <c r="Q27" i="9"/>
  <c r="Q23" i="9"/>
  <c r="Q28" i="9"/>
  <c r="Q29" i="9"/>
  <c r="Q30" i="9"/>
  <c r="Q6" i="9"/>
  <c r="Q7" i="42"/>
  <c r="Q6" i="42"/>
  <c r="Q7" i="12"/>
  <c r="Q6" i="12"/>
  <c r="Q7" i="10"/>
  <c r="Q8" i="10"/>
  <c r="Q10" i="10"/>
  <c r="Q9" i="10"/>
  <c r="Q12" i="10"/>
  <c r="Q13" i="10"/>
  <c r="Q11" i="10"/>
  <c r="Q14" i="10"/>
  <c r="Q15" i="10"/>
  <c r="Q16" i="10"/>
  <c r="Q17" i="10"/>
  <c r="Q18" i="10"/>
  <c r="Q6" i="10"/>
  <c r="Q6" i="11"/>
  <c r="Q12" i="11"/>
  <c r="Q11" i="11"/>
  <c r="Q10" i="11"/>
  <c r="Q16" i="11"/>
  <c r="Q17" i="11"/>
  <c r="Q15" i="11"/>
  <c r="Q9" i="11"/>
  <c r="Q13" i="11"/>
  <c r="Q8" i="11"/>
  <c r="Q14" i="11"/>
  <c r="Q18" i="11"/>
  <c r="Q7" i="11"/>
  <c r="Q7" i="16" l="1"/>
  <c r="Q6" i="16"/>
  <c r="Q8" i="16"/>
  <c r="Q9" i="16"/>
  <c r="Q15" i="16"/>
  <c r="Q11" i="16"/>
  <c r="Q12" i="16"/>
  <c r="Q14" i="16"/>
  <c r="Q16" i="16"/>
  <c r="Q13" i="16"/>
  <c r="Q17" i="16"/>
  <c r="Q18" i="16"/>
  <c r="Q10" i="16"/>
  <c r="K14" i="16"/>
  <c r="Q12" i="15"/>
  <c r="Q7" i="15"/>
  <c r="Q9" i="15"/>
  <c r="Q8" i="15"/>
  <c r="Q10" i="15"/>
  <c r="Q14" i="15"/>
  <c r="Q15" i="15"/>
  <c r="Q17" i="15"/>
  <c r="Q16" i="15"/>
  <c r="Q13" i="15"/>
  <c r="Q11" i="15"/>
  <c r="Q6" i="15"/>
  <c r="Q6" i="18"/>
  <c r="Q8" i="18"/>
  <c r="Q7" i="18"/>
  <c r="Q24" i="18"/>
  <c r="Q27" i="18"/>
  <c r="Q20" i="18"/>
  <c r="Q11" i="18"/>
  <c r="Q19" i="18"/>
  <c r="Q14" i="18"/>
  <c r="Q15" i="18"/>
  <c r="Q26" i="18"/>
  <c r="Q16" i="18"/>
  <c r="Q28" i="18"/>
  <c r="Q18" i="18"/>
  <c r="Q13" i="18"/>
  <c r="Q21" i="18"/>
  <c r="Q17" i="18"/>
  <c r="Q25" i="18"/>
  <c r="Q23" i="18"/>
  <c r="Q9" i="18"/>
  <c r="Q12" i="18"/>
  <c r="Q22" i="18"/>
  <c r="Q10" i="18"/>
  <c r="Q7" i="17"/>
  <c r="Q8" i="17"/>
  <c r="Q11" i="17"/>
  <c r="Q20" i="17"/>
  <c r="Q10" i="17"/>
  <c r="Q15" i="17"/>
  <c r="Q13" i="17"/>
  <c r="Q16" i="17"/>
  <c r="Q21" i="17"/>
  <c r="Q28" i="17"/>
  <c r="Q22" i="17"/>
  <c r="Q29" i="17"/>
  <c r="Q23" i="17"/>
  <c r="Q17" i="17"/>
  <c r="Q30" i="17"/>
  <c r="Q31" i="17"/>
  <c r="Q32" i="17"/>
  <c r="Q24" i="17"/>
  <c r="Q18" i="17"/>
  <c r="Q33" i="17"/>
  <c r="Q19" i="17"/>
  <c r="Q25" i="17"/>
  <c r="Q34" i="17"/>
  <c r="Q35" i="17"/>
  <c r="Q36" i="17"/>
  <c r="Q37" i="17"/>
  <c r="Q12" i="17"/>
  <c r="Q38" i="17"/>
  <c r="Q26" i="17"/>
  <c r="Q27" i="17"/>
  <c r="Q39" i="17"/>
  <c r="Q9" i="17"/>
  <c r="Q14" i="17"/>
  <c r="Q40" i="17"/>
  <c r="Q41" i="17"/>
  <c r="Q42" i="17"/>
  <c r="Q43" i="17"/>
  <c r="Q6" i="17"/>
  <c r="N7" i="41" l="1"/>
  <c r="M7" i="41"/>
  <c r="N6" i="41"/>
  <c r="M6" i="41"/>
  <c r="N11" i="41"/>
  <c r="M11" i="41"/>
  <c r="N8" i="40"/>
  <c r="M8" i="40"/>
  <c r="N7" i="40"/>
  <c r="M7" i="40"/>
  <c r="N6" i="40"/>
  <c r="M6" i="40"/>
  <c r="N13" i="1"/>
  <c r="M13" i="1"/>
  <c r="N7" i="1"/>
  <c r="M7" i="1"/>
  <c r="N11" i="1"/>
  <c r="M11" i="1"/>
  <c r="N10" i="1"/>
  <c r="M10" i="1"/>
  <c r="N12" i="1"/>
  <c r="M12" i="1"/>
  <c r="N14" i="1"/>
  <c r="M14" i="1"/>
  <c r="N15" i="1"/>
  <c r="M15" i="1"/>
  <c r="K11" i="1"/>
  <c r="N9" i="1"/>
  <c r="M9" i="1"/>
  <c r="N6" i="1"/>
  <c r="M6" i="1"/>
  <c r="N8" i="1"/>
  <c r="M8" i="1"/>
  <c r="O15" i="39"/>
  <c r="N15" i="39"/>
  <c r="M15" i="39"/>
  <c r="N6" i="39"/>
  <c r="M6" i="39"/>
  <c r="N13" i="39"/>
  <c r="M13" i="39"/>
  <c r="N9" i="39"/>
  <c r="M9" i="39"/>
  <c r="N10" i="39"/>
  <c r="M10" i="39"/>
  <c r="N8" i="39"/>
  <c r="M8" i="39"/>
  <c r="N11" i="39"/>
  <c r="M11" i="39"/>
  <c r="N7" i="39"/>
  <c r="M7" i="39"/>
  <c r="N14" i="39"/>
  <c r="M14" i="39"/>
  <c r="N15" i="38"/>
  <c r="M15" i="38"/>
  <c r="N11" i="38"/>
  <c r="M11" i="38"/>
  <c r="N8" i="38"/>
  <c r="M8" i="38"/>
  <c r="N7" i="38"/>
  <c r="M7" i="38"/>
  <c r="N6" i="38"/>
  <c r="M6" i="38"/>
  <c r="N13" i="38"/>
  <c r="M13" i="38"/>
  <c r="N14" i="38"/>
  <c r="M14" i="38"/>
  <c r="N9" i="38"/>
  <c r="M9" i="38"/>
  <c r="N14" i="26"/>
  <c r="M14" i="26"/>
  <c r="N10" i="26"/>
  <c r="M10" i="26"/>
  <c r="N6" i="26"/>
  <c r="M6" i="26"/>
  <c r="N8" i="26"/>
  <c r="M8" i="26"/>
  <c r="N13" i="26"/>
  <c r="M13" i="26"/>
  <c r="N16" i="26"/>
  <c r="M16" i="26"/>
  <c r="N9" i="26"/>
  <c r="M9" i="26"/>
  <c r="N12" i="26"/>
  <c r="M12" i="26"/>
  <c r="N17" i="26"/>
  <c r="M17" i="26"/>
  <c r="N7" i="26"/>
  <c r="M7" i="26"/>
  <c r="N15" i="26"/>
  <c r="M15" i="26"/>
  <c r="N6" i="34"/>
  <c r="M6" i="34"/>
  <c r="N7" i="34"/>
  <c r="M7" i="34"/>
  <c r="N9" i="35"/>
  <c r="M9" i="35"/>
  <c r="N19" i="35"/>
  <c r="M19" i="35"/>
  <c r="N8" i="35"/>
  <c r="M8" i="35"/>
  <c r="O19" i="35"/>
  <c r="O18" i="35"/>
  <c r="O17" i="35"/>
  <c r="N17" i="35"/>
  <c r="M17" i="35"/>
  <c r="N6" i="35"/>
  <c r="M6" i="35"/>
  <c r="N7" i="35"/>
  <c r="M7" i="35"/>
  <c r="N13" i="35"/>
  <c r="M13" i="35"/>
  <c r="N14" i="35"/>
  <c r="M14" i="35"/>
  <c r="N18" i="35"/>
  <c r="M18" i="35"/>
  <c r="N15" i="35"/>
  <c r="M15" i="35"/>
  <c r="N17" i="31"/>
  <c r="M17" i="31"/>
  <c r="N12" i="31"/>
  <c r="M12" i="31"/>
  <c r="N10" i="31"/>
  <c r="M10" i="31"/>
  <c r="N16" i="31"/>
  <c r="M16" i="31"/>
  <c r="N15" i="31"/>
  <c r="M15" i="31"/>
  <c r="N14" i="31"/>
  <c r="M14" i="31"/>
  <c r="N6" i="31"/>
  <c r="M6" i="31"/>
  <c r="N8" i="31"/>
  <c r="M8" i="31"/>
  <c r="N7" i="31"/>
  <c r="M7" i="31"/>
  <c r="N11" i="31"/>
  <c r="M11" i="31"/>
  <c r="N9" i="37"/>
  <c r="M9" i="37"/>
  <c r="N11" i="37"/>
  <c r="M11" i="37"/>
  <c r="N10" i="37"/>
  <c r="M10" i="37"/>
  <c r="N16" i="37"/>
  <c r="M16" i="37"/>
  <c r="N13" i="37"/>
  <c r="M13" i="37"/>
  <c r="N14" i="37"/>
  <c r="M14" i="37"/>
  <c r="N15" i="37"/>
  <c r="M15" i="37"/>
  <c r="N8" i="37"/>
  <c r="M8" i="37"/>
  <c r="N6" i="37"/>
  <c r="M6" i="37"/>
  <c r="O12" i="11"/>
  <c r="N12" i="11"/>
  <c r="M12" i="11"/>
  <c r="N8" i="21"/>
  <c r="M8" i="21"/>
  <c r="N6" i="21"/>
  <c r="M6" i="21"/>
  <c r="N14" i="21"/>
  <c r="M14" i="21"/>
  <c r="N10" i="21"/>
  <c r="M10" i="21"/>
  <c r="N9" i="21"/>
  <c r="M9" i="21"/>
  <c r="N13" i="21"/>
  <c r="M13" i="21"/>
  <c r="N7" i="21"/>
  <c r="M7" i="21"/>
  <c r="H9" i="5"/>
  <c r="H8" i="5"/>
  <c r="H7" i="5"/>
  <c r="N8" i="5"/>
  <c r="M8" i="5"/>
  <c r="N10" i="5"/>
  <c r="M10" i="5"/>
  <c r="N11" i="5"/>
  <c r="M11" i="5"/>
  <c r="N9" i="5"/>
  <c r="M9" i="5"/>
  <c r="N6" i="5"/>
  <c r="M6" i="5"/>
  <c r="N12" i="5"/>
  <c r="M12" i="5"/>
  <c r="O10" i="5"/>
  <c r="O7" i="5"/>
  <c r="N7" i="5"/>
  <c r="M7" i="5"/>
  <c r="Q7" i="43"/>
  <c r="Q6" i="43"/>
  <c r="P6" i="43"/>
  <c r="L6" i="43"/>
  <c r="L7" i="43"/>
  <c r="N6" i="43"/>
  <c r="M6" i="43"/>
  <c r="N35" i="7" l="1"/>
  <c r="M35" i="7"/>
  <c r="N28" i="7"/>
  <c r="M28" i="7"/>
  <c r="N17" i="7"/>
  <c r="M17" i="7"/>
  <c r="N9" i="7"/>
  <c r="M9" i="7"/>
  <c r="N7" i="7"/>
  <c r="M7" i="7"/>
  <c r="N8" i="7"/>
  <c r="M8" i="7"/>
  <c r="N15" i="7"/>
  <c r="M15" i="7"/>
  <c r="N22" i="7"/>
  <c r="M22" i="7"/>
  <c r="N21" i="7"/>
  <c r="M21" i="7"/>
  <c r="N10" i="7"/>
  <c r="M10" i="7"/>
  <c r="N14" i="7"/>
  <c r="M14" i="7"/>
  <c r="N16" i="7"/>
  <c r="M16" i="7"/>
  <c r="N6" i="7"/>
  <c r="M6" i="7"/>
  <c r="N33" i="7"/>
  <c r="M33" i="7"/>
  <c r="N32" i="7"/>
  <c r="M32" i="7"/>
  <c r="N13" i="7"/>
  <c r="M13" i="7"/>
  <c r="N12" i="7"/>
  <c r="M12" i="7"/>
  <c r="N34" i="7"/>
  <c r="M34" i="7"/>
  <c r="N23" i="7"/>
  <c r="M23" i="7"/>
  <c r="N20" i="7"/>
  <c r="M20" i="7"/>
  <c r="N27" i="7"/>
  <c r="M27" i="7"/>
  <c r="N24" i="7"/>
  <c r="M24" i="7"/>
  <c r="N29" i="7"/>
  <c r="M29" i="7"/>
  <c r="N25" i="7"/>
  <c r="M25" i="7"/>
  <c r="N30" i="7"/>
  <c r="M30" i="7"/>
  <c r="N19" i="7"/>
  <c r="M19" i="7"/>
  <c r="N26" i="7"/>
  <c r="M26" i="7"/>
  <c r="N18" i="7"/>
  <c r="M18" i="7"/>
  <c r="N20" i="8"/>
  <c r="M20" i="8"/>
  <c r="N15" i="8"/>
  <c r="M15" i="8"/>
  <c r="N17" i="8"/>
  <c r="M17" i="8"/>
  <c r="N13" i="8"/>
  <c r="M13" i="8"/>
  <c r="N26" i="8"/>
  <c r="M26" i="8"/>
  <c r="N14" i="8"/>
  <c r="M14" i="8"/>
  <c r="N25" i="8"/>
  <c r="M25" i="8"/>
  <c r="N6" i="8"/>
  <c r="M6" i="8"/>
  <c r="N9" i="8"/>
  <c r="M9" i="8"/>
  <c r="N12" i="8"/>
  <c r="M12" i="8"/>
  <c r="N22" i="8"/>
  <c r="M22" i="8"/>
  <c r="N21" i="8"/>
  <c r="M21" i="8"/>
  <c r="N16" i="8"/>
  <c r="M16" i="8"/>
  <c r="N8" i="8"/>
  <c r="M8" i="8"/>
  <c r="N7" i="8"/>
  <c r="M7" i="8"/>
  <c r="N24" i="8"/>
  <c r="M24" i="8"/>
  <c r="N19" i="8"/>
  <c r="M19" i="8"/>
  <c r="N11" i="8"/>
  <c r="M11" i="8"/>
  <c r="N23" i="8"/>
  <c r="M23" i="8"/>
  <c r="N18" i="8"/>
  <c r="M18" i="8"/>
  <c r="N17" i="33" l="1"/>
  <c r="M17" i="33"/>
  <c r="N16" i="33"/>
  <c r="M16" i="33"/>
  <c r="N19" i="33"/>
  <c r="M19" i="33"/>
  <c r="N8" i="33"/>
  <c r="M8" i="33"/>
  <c r="N18" i="33"/>
  <c r="M18" i="33"/>
  <c r="N20" i="33"/>
  <c r="M20" i="33"/>
  <c r="N11" i="33"/>
  <c r="M11" i="33"/>
  <c r="N22" i="33"/>
  <c r="M22" i="33"/>
  <c r="N10" i="33"/>
  <c r="M10" i="33"/>
  <c r="N12" i="33"/>
  <c r="M12" i="33"/>
  <c r="N7" i="33"/>
  <c r="M7" i="33"/>
  <c r="N6" i="33"/>
  <c r="M6" i="33"/>
  <c r="N14" i="33"/>
  <c r="M14" i="33"/>
  <c r="N9" i="33"/>
  <c r="M9" i="33"/>
  <c r="N21" i="33"/>
  <c r="M21" i="33"/>
  <c r="N15" i="33"/>
  <c r="M15" i="33"/>
  <c r="N13" i="33"/>
  <c r="M13" i="33"/>
  <c r="N23" i="33"/>
  <c r="M23" i="33"/>
  <c r="N22" i="20"/>
  <c r="M22" i="20"/>
  <c r="N11" i="20"/>
  <c r="M11" i="20"/>
  <c r="N31" i="20"/>
  <c r="M31" i="20"/>
  <c r="N19" i="20"/>
  <c r="M19" i="20"/>
  <c r="N15" i="20"/>
  <c r="M15" i="20"/>
  <c r="N26" i="20"/>
  <c r="M26" i="20"/>
  <c r="N13" i="20"/>
  <c r="M13" i="20"/>
  <c r="M14" i="20"/>
  <c r="N14" i="20"/>
  <c r="N23" i="20"/>
  <c r="M23" i="20"/>
  <c r="N32" i="20"/>
  <c r="M32" i="20"/>
  <c r="N33" i="20"/>
  <c r="M33" i="20"/>
  <c r="N10" i="20"/>
  <c r="M10" i="20"/>
  <c r="N6" i="20"/>
  <c r="M6" i="20"/>
  <c r="N21" i="20"/>
  <c r="M21" i="20"/>
  <c r="N20" i="20"/>
  <c r="M20" i="20"/>
  <c r="N24" i="20"/>
  <c r="M24" i="20"/>
  <c r="N16" i="20"/>
  <c r="M16" i="20"/>
  <c r="N17" i="20"/>
  <c r="M17" i="20"/>
  <c r="N7" i="20"/>
  <c r="M7" i="20"/>
  <c r="N8" i="20"/>
  <c r="M8" i="20"/>
  <c r="N25" i="20"/>
  <c r="M25" i="20"/>
  <c r="N27" i="20"/>
  <c r="M27" i="20"/>
  <c r="N18" i="20"/>
  <c r="M18" i="20"/>
  <c r="N34" i="24"/>
  <c r="M34" i="24"/>
  <c r="N24" i="24"/>
  <c r="M24" i="24"/>
  <c r="N33" i="24"/>
  <c r="M33" i="24"/>
  <c r="N14" i="24"/>
  <c r="M14" i="24"/>
  <c r="N20" i="24"/>
  <c r="M20" i="24"/>
  <c r="N19" i="24"/>
  <c r="M19" i="24"/>
  <c r="N8" i="24"/>
  <c r="M8" i="24"/>
  <c r="N28" i="24"/>
  <c r="M28" i="24"/>
  <c r="N35" i="24"/>
  <c r="M35" i="24"/>
  <c r="N37" i="24"/>
  <c r="M37" i="24"/>
  <c r="N36" i="24"/>
  <c r="M36" i="24"/>
  <c r="N25" i="24"/>
  <c r="M25" i="24"/>
  <c r="N29" i="24"/>
  <c r="M29" i="24"/>
  <c r="N17" i="24"/>
  <c r="M17" i="24"/>
  <c r="N16" i="24"/>
  <c r="M16" i="24"/>
  <c r="N15" i="24"/>
  <c r="M15" i="24"/>
  <c r="N13" i="24"/>
  <c r="M13" i="24"/>
  <c r="N10" i="24"/>
  <c r="M10" i="24"/>
  <c r="N21" i="24" l="1"/>
  <c r="M21" i="24"/>
  <c r="N23" i="24"/>
  <c r="M23" i="24"/>
  <c r="N6" i="24"/>
  <c r="M6" i="24"/>
  <c r="N7" i="24"/>
  <c r="M7" i="24"/>
  <c r="N9" i="24"/>
  <c r="M9" i="24"/>
  <c r="N18" i="24"/>
  <c r="M18" i="24"/>
  <c r="N22" i="24"/>
  <c r="M22" i="24"/>
  <c r="N26" i="24"/>
  <c r="M26" i="24"/>
  <c r="N27" i="24"/>
  <c r="M27" i="24"/>
  <c r="N9" i="2"/>
  <c r="M9" i="2"/>
  <c r="N11" i="2"/>
  <c r="M11" i="2"/>
  <c r="N6" i="2"/>
  <c r="M6" i="2"/>
  <c r="N13" i="2"/>
  <c r="M13" i="2"/>
  <c r="N23" i="2"/>
  <c r="M23" i="2"/>
  <c r="N8" i="2"/>
  <c r="M8" i="2"/>
  <c r="N19" i="2"/>
  <c r="M19" i="2"/>
  <c r="N17" i="2"/>
  <c r="M17" i="2"/>
  <c r="N22" i="2"/>
  <c r="M22" i="2"/>
  <c r="N7" i="2"/>
  <c r="M7" i="2"/>
  <c r="N24" i="2"/>
  <c r="M24" i="2"/>
  <c r="N12" i="2"/>
  <c r="M12" i="2"/>
  <c r="N15" i="2"/>
  <c r="M15" i="2"/>
  <c r="N18" i="2"/>
  <c r="M18" i="2"/>
  <c r="N10" i="2"/>
  <c r="M10" i="2"/>
  <c r="N16" i="2"/>
  <c r="M16" i="2"/>
  <c r="N21" i="2"/>
  <c r="M21" i="2"/>
  <c r="N20" i="2"/>
  <c r="M20" i="2"/>
  <c r="N25" i="2"/>
  <c r="M25" i="2"/>
  <c r="N27" i="2"/>
  <c r="M27" i="2"/>
  <c r="N8" i="25"/>
  <c r="M8" i="25"/>
  <c r="N7" i="25"/>
  <c r="M7" i="25"/>
  <c r="N10" i="25"/>
  <c r="M10" i="25"/>
  <c r="N17" i="25"/>
  <c r="M17" i="25"/>
  <c r="N13" i="25"/>
  <c r="M13" i="25"/>
  <c r="N19" i="25"/>
  <c r="M19" i="25"/>
  <c r="N11" i="25"/>
  <c r="M11" i="25"/>
  <c r="N15" i="25"/>
  <c r="M15" i="25"/>
  <c r="N16" i="25"/>
  <c r="M16" i="25"/>
  <c r="N9" i="25"/>
  <c r="M9" i="25"/>
  <c r="N14" i="25"/>
  <c r="M14" i="25"/>
  <c r="N18" i="25"/>
  <c r="M18" i="25"/>
  <c r="N6" i="25"/>
  <c r="M6" i="25"/>
  <c r="N10" i="9"/>
  <c r="M10" i="9"/>
  <c r="N19" i="9"/>
  <c r="M19" i="9"/>
  <c r="N16" i="9"/>
  <c r="M16" i="9"/>
  <c r="N14" i="9"/>
  <c r="M14" i="9"/>
  <c r="N11" i="9"/>
  <c r="M11" i="9"/>
  <c r="N8" i="9"/>
  <c r="M8" i="9"/>
  <c r="N13" i="9"/>
  <c r="M13" i="9"/>
  <c r="N6" i="9"/>
  <c r="M6" i="9"/>
  <c r="N18" i="9"/>
  <c r="M18" i="9"/>
  <c r="N20" i="9"/>
  <c r="M20" i="9"/>
  <c r="N17" i="9"/>
  <c r="M17" i="9"/>
  <c r="N12" i="9"/>
  <c r="M12" i="9"/>
  <c r="N24" i="9"/>
  <c r="M24" i="9"/>
  <c r="N15" i="9"/>
  <c r="M15" i="9"/>
  <c r="N7" i="9"/>
  <c r="M7" i="9"/>
  <c r="N6" i="13"/>
  <c r="M6" i="13"/>
  <c r="N7" i="13"/>
  <c r="M7" i="13"/>
  <c r="N8" i="13"/>
  <c r="M8" i="13"/>
  <c r="N11" i="13"/>
  <c r="M11" i="13"/>
  <c r="N10" i="13"/>
  <c r="M10" i="13"/>
  <c r="N9" i="13"/>
  <c r="M9" i="13"/>
  <c r="N12" i="30"/>
  <c r="M12" i="30"/>
  <c r="N6" i="30"/>
  <c r="M6" i="30"/>
  <c r="N9" i="30"/>
  <c r="M9" i="30"/>
  <c r="N8" i="30"/>
  <c r="M8" i="30"/>
  <c r="N7" i="30"/>
  <c r="M7" i="30"/>
  <c r="N10" i="32"/>
  <c r="M10" i="32"/>
  <c r="N7" i="32"/>
  <c r="M7" i="32"/>
  <c r="N15" i="32"/>
  <c r="M15" i="32"/>
  <c r="N8" i="32"/>
  <c r="M8" i="32"/>
  <c r="N16" i="32"/>
  <c r="M16" i="32"/>
  <c r="N17" i="32"/>
  <c r="M17" i="32"/>
  <c r="N6" i="32"/>
  <c r="M6" i="32"/>
  <c r="N18" i="32"/>
  <c r="M18" i="32"/>
  <c r="N9" i="32"/>
  <c r="M9" i="32"/>
  <c r="N14" i="32"/>
  <c r="M14" i="32"/>
  <c r="N16" i="27"/>
  <c r="M16" i="27"/>
  <c r="N15" i="27"/>
  <c r="M15" i="27"/>
  <c r="N13" i="27"/>
  <c r="M13" i="27"/>
  <c r="N6" i="27"/>
  <c r="M6" i="27"/>
  <c r="N28" i="27"/>
  <c r="M28" i="27"/>
  <c r="N11" i="27"/>
  <c r="M11" i="27"/>
  <c r="N8" i="27"/>
  <c r="M8" i="27"/>
  <c r="N14" i="27"/>
  <c r="M14" i="27"/>
  <c r="N25" i="27"/>
  <c r="M25" i="27"/>
  <c r="N17" i="27"/>
  <c r="M17" i="27"/>
  <c r="N21" i="27"/>
  <c r="M21" i="27"/>
  <c r="N26" i="27"/>
  <c r="M26" i="27"/>
  <c r="N29" i="27"/>
  <c r="M29" i="27"/>
  <c r="N27" i="27"/>
  <c r="M27" i="27"/>
  <c r="N18" i="27"/>
  <c r="M18" i="27"/>
  <c r="N10" i="27"/>
  <c r="M10" i="27"/>
  <c r="N7" i="27"/>
  <c r="M7" i="27"/>
  <c r="N12" i="27"/>
  <c r="M12" i="27"/>
  <c r="N17" i="28"/>
  <c r="M17" i="28"/>
  <c r="N16" i="28"/>
  <c r="M16" i="28"/>
  <c r="N9" i="28"/>
  <c r="M9" i="28"/>
  <c r="N7" i="28"/>
  <c r="M7" i="28"/>
  <c r="N13" i="28"/>
  <c r="M13" i="28"/>
  <c r="J12" i="28"/>
  <c r="N8" i="28"/>
  <c r="M8" i="28" l="1"/>
  <c r="N12" i="28"/>
  <c r="M12" i="28"/>
  <c r="N11" i="28"/>
  <c r="M11" i="28"/>
  <c r="N6" i="28"/>
  <c r="M6" i="28"/>
  <c r="N14" i="28"/>
  <c r="M14" i="28"/>
  <c r="N10" i="29"/>
  <c r="M10" i="29"/>
  <c r="N8" i="29"/>
  <c r="M8" i="29"/>
  <c r="N6" i="29"/>
  <c r="M6" i="29"/>
  <c r="N7" i="29"/>
  <c r="M7" i="29"/>
  <c r="N6" i="4"/>
  <c r="M6" i="4"/>
  <c r="N7" i="4"/>
  <c r="M7" i="4"/>
  <c r="N17" i="23"/>
  <c r="M17" i="23"/>
  <c r="N28" i="23"/>
  <c r="M28" i="23"/>
  <c r="N25" i="23"/>
  <c r="M25" i="23"/>
  <c r="N29" i="23"/>
  <c r="M29" i="23"/>
  <c r="N10" i="23"/>
  <c r="M10" i="23"/>
  <c r="N11" i="23"/>
  <c r="M11" i="23"/>
  <c r="N16" i="23"/>
  <c r="M16" i="23"/>
  <c r="N7" i="23"/>
  <c r="M7" i="23"/>
  <c r="N18" i="23"/>
  <c r="M18" i="23"/>
  <c r="N21" i="23"/>
  <c r="M21" i="23"/>
  <c r="N6" i="23"/>
  <c r="M6" i="23"/>
  <c r="N15" i="23"/>
  <c r="M15" i="23"/>
  <c r="N27" i="23"/>
  <c r="M27" i="23"/>
  <c r="N24" i="23"/>
  <c r="M24" i="23"/>
  <c r="N14" i="23"/>
  <c r="M14" i="23"/>
  <c r="N9" i="23"/>
  <c r="M9" i="23"/>
  <c r="N8" i="23"/>
  <c r="M8" i="23"/>
  <c r="N23" i="23"/>
  <c r="M23" i="23"/>
  <c r="N13" i="23"/>
  <c r="M13" i="23"/>
  <c r="N19" i="23"/>
  <c r="M19" i="23"/>
  <c r="N20" i="23"/>
  <c r="M20" i="23"/>
  <c r="N26" i="23"/>
  <c r="M26" i="23"/>
  <c r="N22" i="23"/>
  <c r="M22" i="23"/>
  <c r="N7" i="19"/>
  <c r="M7" i="19"/>
  <c r="N9" i="19"/>
  <c r="M9" i="19"/>
  <c r="N14" i="19"/>
  <c r="M14" i="19"/>
  <c r="N16" i="19"/>
  <c r="M16" i="19"/>
  <c r="N10" i="19"/>
  <c r="M10" i="19"/>
  <c r="N6" i="19"/>
  <c r="M6" i="19"/>
  <c r="N8" i="19"/>
  <c r="M8" i="19"/>
  <c r="N15" i="19"/>
  <c r="M15" i="19"/>
  <c r="N11" i="19"/>
  <c r="M11" i="19"/>
  <c r="N21" i="19"/>
  <c r="M21" i="19"/>
  <c r="N18" i="19"/>
  <c r="M18" i="19"/>
  <c r="N19" i="19"/>
  <c r="M19" i="19"/>
  <c r="N20" i="19"/>
  <c r="M20" i="19"/>
  <c r="N12" i="19"/>
  <c r="M12" i="19"/>
  <c r="N17" i="19"/>
  <c r="M17" i="19"/>
  <c r="N7" i="3"/>
  <c r="M7" i="3"/>
  <c r="N8" i="3"/>
  <c r="M8" i="3"/>
  <c r="N6" i="3"/>
  <c r="M6" i="3"/>
  <c r="N10" i="3"/>
  <c r="M10" i="3"/>
  <c r="N11" i="17"/>
  <c r="M11" i="17"/>
  <c r="N16" i="17"/>
  <c r="M16" i="17"/>
  <c r="N17" i="17"/>
  <c r="M17" i="17"/>
  <c r="N18" i="17"/>
  <c r="M18" i="17"/>
  <c r="N19" i="17"/>
  <c r="M19" i="17"/>
  <c r="N35" i="17"/>
  <c r="M35" i="17"/>
  <c r="N25" i="17"/>
  <c r="M25" i="17"/>
  <c r="N32" i="17"/>
  <c r="M32" i="17"/>
  <c r="N29" i="17"/>
  <c r="M29" i="17"/>
  <c r="N6" i="17"/>
  <c r="M6" i="17"/>
  <c r="N15" i="17"/>
  <c r="M15" i="17"/>
  <c r="N21" i="17"/>
  <c r="M21" i="17"/>
  <c r="N30" i="17"/>
  <c r="M30" i="17"/>
  <c r="N37" i="17"/>
  <c r="M37" i="17"/>
  <c r="N36" i="17"/>
  <c r="M36" i="17"/>
  <c r="N10" i="17"/>
  <c r="M10" i="17"/>
  <c r="N22" i="17"/>
  <c r="M22" i="17"/>
  <c r="N20" i="17"/>
  <c r="M20" i="17"/>
  <c r="N24" i="17"/>
  <c r="M24" i="17"/>
  <c r="N7" i="17"/>
  <c r="M7" i="17"/>
  <c r="N23" i="17"/>
  <c r="M23" i="17"/>
  <c r="N8" i="17"/>
  <c r="M8" i="17"/>
  <c r="N33" i="17"/>
  <c r="M33" i="17"/>
  <c r="N28" i="17"/>
  <c r="M28" i="17"/>
  <c r="N34" i="17"/>
  <c r="M34" i="17"/>
  <c r="N13" i="17"/>
  <c r="M13" i="17"/>
  <c r="N31" i="17"/>
  <c r="M31" i="17"/>
  <c r="N25" i="6"/>
  <c r="M25" i="6"/>
  <c r="N19" i="6"/>
  <c r="M19" i="6"/>
  <c r="N14" i="6"/>
  <c r="M14" i="6"/>
  <c r="N9" i="6"/>
  <c r="M9" i="6"/>
  <c r="N20" i="6"/>
  <c r="M20" i="6"/>
  <c r="N31" i="6"/>
  <c r="M31" i="6"/>
  <c r="N17" i="6"/>
  <c r="M17" i="6"/>
  <c r="N18" i="6"/>
  <c r="M18" i="6"/>
  <c r="N7" i="6"/>
  <c r="M7" i="6"/>
  <c r="N29" i="6"/>
  <c r="M29" i="6"/>
  <c r="N28" i="6"/>
  <c r="M28" i="6"/>
  <c r="N27" i="6"/>
  <c r="M27" i="6"/>
  <c r="N30" i="6"/>
  <c r="M30" i="6"/>
  <c r="N6" i="6"/>
  <c r="M6" i="6"/>
  <c r="N26" i="6"/>
  <c r="M26" i="6"/>
  <c r="N8" i="6"/>
  <c r="M8" i="6"/>
  <c r="N11" i="6"/>
  <c r="M11" i="6"/>
  <c r="N16" i="6"/>
  <c r="M16" i="6"/>
  <c r="N15" i="6"/>
  <c r="M15" i="6"/>
  <c r="N12" i="6"/>
  <c r="M12" i="6"/>
  <c r="N13" i="10"/>
  <c r="M13" i="10"/>
  <c r="N8" i="10"/>
  <c r="M8" i="10"/>
  <c r="N9" i="10"/>
  <c r="M9" i="10"/>
  <c r="N12" i="10"/>
  <c r="M12" i="10"/>
  <c r="N6" i="10"/>
  <c r="M6" i="10"/>
  <c r="N10" i="10"/>
  <c r="M10" i="10"/>
  <c r="N7" i="10"/>
  <c r="M7" i="10"/>
  <c r="N7" i="12"/>
  <c r="M7" i="12"/>
  <c r="N6" i="12"/>
  <c r="M6" i="12"/>
  <c r="N7" i="42"/>
  <c r="M7" i="42"/>
  <c r="N6" i="42"/>
  <c r="M6" i="42"/>
  <c r="N15" i="14"/>
  <c r="M15" i="14"/>
  <c r="N19" i="14"/>
  <c r="M19" i="14"/>
  <c r="N8" i="14"/>
  <c r="M8" i="14"/>
  <c r="N6" i="14"/>
  <c r="M6" i="14"/>
  <c r="N14" i="14"/>
  <c r="M14" i="14"/>
  <c r="N21" i="14"/>
  <c r="M21" i="14"/>
  <c r="N9" i="14"/>
  <c r="M9" i="14"/>
  <c r="N17" i="14"/>
  <c r="M17" i="14"/>
  <c r="N12" i="14"/>
  <c r="M12" i="14"/>
  <c r="N10" i="14"/>
  <c r="M10" i="14"/>
  <c r="N16" i="14"/>
  <c r="M16" i="14"/>
  <c r="N13" i="14"/>
  <c r="M13" i="14"/>
  <c r="N18" i="14"/>
  <c r="M18" i="14"/>
  <c r="N7" i="14"/>
  <c r="M7" i="14"/>
  <c r="N11" i="14"/>
  <c r="M11" i="14"/>
  <c r="N20" i="14"/>
  <c r="M20" i="14"/>
  <c r="N6" i="11"/>
  <c r="M6" i="11"/>
  <c r="N11" i="11"/>
  <c r="M11" i="11"/>
  <c r="N17" i="11"/>
  <c r="M17" i="11"/>
  <c r="N16" i="11"/>
  <c r="M16" i="11"/>
  <c r="N15" i="11"/>
  <c r="M15" i="11"/>
  <c r="N10" i="11"/>
  <c r="M10" i="11"/>
  <c r="N7" i="11"/>
  <c r="M7" i="11"/>
  <c r="N15" i="16"/>
  <c r="M15" i="16"/>
  <c r="N11" i="16"/>
  <c r="M11" i="16"/>
  <c r="N7" i="16"/>
  <c r="M7" i="16"/>
  <c r="N9" i="16"/>
  <c r="M9" i="16"/>
  <c r="N12" i="16"/>
  <c r="M12" i="16"/>
  <c r="N14" i="16"/>
  <c r="M14" i="16"/>
  <c r="N6" i="16"/>
  <c r="M6" i="16"/>
  <c r="N16" i="16"/>
  <c r="M16" i="16"/>
  <c r="N8" i="16"/>
  <c r="M8" i="16"/>
  <c r="N10" i="16"/>
  <c r="M10" i="16"/>
  <c r="N14" i="18"/>
  <c r="M14" i="18"/>
  <c r="N18" i="18"/>
  <c r="M18" i="18"/>
  <c r="N13" i="18"/>
  <c r="M13" i="18"/>
  <c r="N16" i="18"/>
  <c r="M16" i="18"/>
  <c r="N15" i="18"/>
  <c r="M15" i="18"/>
  <c r="N8" i="18"/>
  <c r="M8" i="18"/>
  <c r="N26" i="18"/>
  <c r="M26" i="18"/>
  <c r="N25" i="18"/>
  <c r="M25" i="18"/>
  <c r="N10" i="18"/>
  <c r="M10" i="18"/>
  <c r="N24" i="18"/>
  <c r="M24" i="18"/>
  <c r="N17" i="18"/>
  <c r="M17" i="18"/>
  <c r="N28" i="18"/>
  <c r="M28" i="18"/>
  <c r="N21" i="18"/>
  <c r="M21" i="18"/>
  <c r="N11" i="18"/>
  <c r="M11" i="18"/>
  <c r="N27" i="18"/>
  <c r="M27" i="18"/>
  <c r="N7" i="18"/>
  <c r="M7" i="18"/>
  <c r="N6" i="18"/>
  <c r="M6" i="18"/>
  <c r="N19" i="18"/>
  <c r="M19" i="18"/>
  <c r="N20" i="18"/>
  <c r="M20" i="18"/>
  <c r="N17" i="15"/>
  <c r="M17" i="15"/>
  <c r="M15" i="15"/>
  <c r="N9" i="15"/>
  <c r="M9" i="15"/>
  <c r="N12" i="15"/>
  <c r="M12" i="15"/>
  <c r="N6" i="15"/>
  <c r="M6" i="15"/>
  <c r="N10" i="15"/>
  <c r="M10" i="15"/>
  <c r="N7" i="15"/>
  <c r="M7" i="15"/>
  <c r="N15" i="15"/>
  <c r="N16" i="15"/>
  <c r="M16" i="15"/>
  <c r="N8" i="15"/>
  <c r="M8" i="15"/>
  <c r="N14" i="15"/>
  <c r="M14" i="15"/>
  <c r="J11" i="1" l="1"/>
  <c r="I11" i="1"/>
  <c r="G9" i="39"/>
  <c r="G20" i="27"/>
  <c r="G10" i="27"/>
  <c r="O20" i="14" l="1"/>
  <c r="O6" i="41"/>
  <c r="O7" i="41"/>
  <c r="O11" i="41"/>
  <c r="O6" i="40"/>
  <c r="O7" i="40"/>
  <c r="O8" i="40"/>
  <c r="O9" i="40"/>
  <c r="O7" i="29"/>
  <c r="O8" i="29"/>
  <c r="O9" i="29"/>
  <c r="O10" i="29"/>
  <c r="O6" i="29"/>
  <c r="O7" i="28"/>
  <c r="O8" i="28"/>
  <c r="O13" i="28"/>
  <c r="O9" i="28"/>
  <c r="O12" i="28"/>
  <c r="O14" i="28"/>
  <c r="O17" i="28"/>
  <c r="O16" i="28"/>
  <c r="O11" i="28"/>
  <c r="O6" i="28"/>
  <c r="O7" i="4"/>
  <c r="O6" i="4"/>
  <c r="O7" i="1"/>
  <c r="O10" i="1"/>
  <c r="O11" i="1"/>
  <c r="O9" i="1"/>
  <c r="O8" i="1"/>
  <c r="O15" i="1"/>
  <c r="O13" i="1"/>
  <c r="O14" i="1"/>
  <c r="O12" i="1"/>
  <c r="O6" i="1"/>
  <c r="O8" i="13"/>
  <c r="O9" i="13"/>
  <c r="O10" i="13"/>
  <c r="O7" i="13"/>
  <c r="O11" i="13"/>
  <c r="O6" i="13"/>
  <c r="O7" i="39"/>
  <c r="O13" i="39"/>
  <c r="O9" i="39"/>
  <c r="O8" i="39"/>
  <c r="O11" i="39"/>
  <c r="O14" i="39"/>
  <c r="O10" i="39"/>
  <c r="O6" i="39"/>
  <c r="O8" i="38"/>
  <c r="O9" i="38"/>
  <c r="O14" i="38"/>
  <c r="O13" i="38"/>
  <c r="O11" i="38"/>
  <c r="O15" i="38"/>
  <c r="O7" i="38"/>
  <c r="O6" i="38"/>
  <c r="O6" i="26"/>
  <c r="O8" i="26"/>
  <c r="O12" i="26"/>
  <c r="O10" i="26"/>
  <c r="O15" i="26"/>
  <c r="O14" i="26"/>
  <c r="O13" i="26"/>
  <c r="O9" i="26"/>
  <c r="O16" i="26"/>
  <c r="O17" i="26"/>
  <c r="O7" i="26"/>
  <c r="O26" i="27"/>
  <c r="O29" i="27"/>
  <c r="O27" i="27"/>
  <c r="O6" i="27"/>
  <c r="O11" i="27"/>
  <c r="O8" i="27"/>
  <c r="O13" i="27"/>
  <c r="O15" i="27"/>
  <c r="O14" i="27"/>
  <c r="O18" i="27"/>
  <c r="O10" i="27"/>
  <c r="O12" i="27"/>
  <c r="O7" i="27"/>
  <c r="O16" i="27"/>
  <c r="O17" i="27"/>
  <c r="O21" i="27"/>
  <c r="O25" i="27"/>
  <c r="O28" i="27"/>
  <c r="O7" i="3"/>
  <c r="O8" i="3"/>
  <c r="O10" i="3"/>
  <c r="O6" i="3"/>
  <c r="O6" i="2"/>
  <c r="O11" i="2"/>
  <c r="O12" i="2"/>
  <c r="O18" i="2"/>
  <c r="O17" i="2"/>
  <c r="O9" i="2"/>
  <c r="O16" i="2"/>
  <c r="O10" i="2"/>
  <c r="O21" i="2"/>
  <c r="O15" i="2"/>
  <c r="O20" i="2"/>
  <c r="O19" i="2"/>
  <c r="O25" i="2"/>
  <c r="O22" i="2"/>
  <c r="O24" i="2"/>
  <c r="O13" i="2"/>
  <c r="O23" i="2"/>
  <c r="O7" i="2"/>
  <c r="O27" i="2"/>
  <c r="O8" i="2"/>
  <c r="O8" i="14"/>
  <c r="O6" i="14"/>
  <c r="O9" i="14"/>
  <c r="O12" i="14"/>
  <c r="O14" i="14"/>
  <c r="O13" i="14"/>
  <c r="O10" i="14"/>
  <c r="O17" i="14"/>
  <c r="O16" i="14"/>
  <c r="O18" i="14"/>
  <c r="O19" i="14"/>
  <c r="O15" i="14"/>
  <c r="O21" i="14"/>
  <c r="O11" i="14"/>
  <c r="O7" i="14"/>
  <c r="O6" i="34"/>
  <c r="O7" i="34"/>
  <c r="O8" i="35"/>
  <c r="O7" i="35"/>
  <c r="O13" i="35"/>
  <c r="O14" i="35"/>
  <c r="O9" i="35"/>
  <c r="O15" i="35"/>
  <c r="O6" i="35"/>
  <c r="O10" i="37"/>
  <c r="O9" i="37"/>
  <c r="O13" i="37"/>
  <c r="O14" i="37"/>
  <c r="O16" i="37"/>
  <c r="O8" i="37"/>
  <c r="O15" i="37"/>
  <c r="O11" i="37"/>
  <c r="O6" i="37"/>
  <c r="O10" i="33"/>
  <c r="O7" i="33"/>
  <c r="O11" i="33"/>
  <c r="O9" i="33"/>
  <c r="O21" i="33"/>
  <c r="O23" i="33"/>
  <c r="O16" i="33"/>
  <c r="O17" i="33"/>
  <c r="O19" i="33"/>
  <c r="O18" i="33"/>
  <c r="O8" i="33"/>
  <c r="O20" i="33"/>
  <c r="O14" i="33"/>
  <c r="O6" i="33"/>
  <c r="O13" i="33"/>
  <c r="O15" i="33"/>
  <c r="O22" i="33"/>
  <c r="O12" i="33"/>
  <c r="O7" i="31"/>
  <c r="O8" i="31"/>
  <c r="O14" i="31"/>
  <c r="O15" i="31"/>
  <c r="O11" i="31"/>
  <c r="O10" i="31"/>
  <c r="O17" i="31"/>
  <c r="O16" i="31"/>
  <c r="O12" i="31"/>
  <c r="O6" i="31"/>
  <c r="O9" i="32"/>
  <c r="O10" i="32"/>
  <c r="O14" i="32"/>
  <c r="O17" i="32"/>
  <c r="O15" i="32"/>
  <c r="O7" i="32"/>
  <c r="O8" i="32"/>
  <c r="O16" i="32"/>
  <c r="O18" i="32"/>
  <c r="O6" i="32"/>
  <c r="O7" i="30"/>
  <c r="O12" i="30"/>
  <c r="O8" i="30"/>
  <c r="O9" i="30"/>
  <c r="O6" i="30"/>
  <c r="O10" i="21"/>
  <c r="O8" i="21"/>
  <c r="O14" i="21"/>
  <c r="O7" i="21"/>
  <c r="O9" i="21"/>
  <c r="O13" i="21"/>
  <c r="O6" i="21"/>
  <c r="O6" i="25"/>
  <c r="O11" i="25"/>
  <c r="O13" i="25"/>
  <c r="O9" i="25"/>
  <c r="O10" i="25"/>
  <c r="O14" i="25"/>
  <c r="O15" i="25"/>
  <c r="O8" i="25"/>
  <c r="O17" i="25"/>
  <c r="O16" i="25"/>
  <c r="O19" i="25"/>
  <c r="O18" i="25"/>
  <c r="O7" i="25"/>
  <c r="O9" i="23"/>
  <c r="O8" i="23"/>
  <c r="O14" i="23"/>
  <c r="O13" i="23"/>
  <c r="O19" i="23"/>
  <c r="O15" i="23"/>
  <c r="O10" i="23"/>
  <c r="O16" i="23"/>
  <c r="O11" i="23"/>
  <c r="O18" i="23"/>
  <c r="O21" i="23"/>
  <c r="O23" i="23"/>
  <c r="O20" i="23"/>
  <c r="O22" i="23"/>
  <c r="O17" i="23"/>
  <c r="O7" i="23"/>
  <c r="O27" i="23"/>
  <c r="O24" i="23"/>
  <c r="O28" i="23"/>
  <c r="O25" i="23"/>
  <c r="O29" i="23"/>
  <c r="O26" i="23"/>
  <c r="O6" i="23"/>
  <c r="O35" i="24"/>
  <c r="O36" i="24"/>
  <c r="O34" i="24"/>
  <c r="O33" i="24"/>
  <c r="O37" i="24"/>
  <c r="O7" i="24"/>
  <c r="O10" i="24"/>
  <c r="O13" i="24"/>
  <c r="O14" i="24"/>
  <c r="O15" i="24"/>
  <c r="O17" i="24"/>
  <c r="O16" i="24"/>
  <c r="O29" i="24"/>
  <c r="O26" i="24"/>
  <c r="O22" i="24"/>
  <c r="O28" i="24"/>
  <c r="O20" i="24"/>
  <c r="O25" i="24"/>
  <c r="O18" i="24"/>
  <c r="O9" i="24"/>
  <c r="O8" i="24"/>
  <c r="O27" i="24"/>
  <c r="O19" i="24"/>
  <c r="O21" i="24"/>
  <c r="O23" i="24"/>
  <c r="O24" i="24"/>
  <c r="O6" i="24"/>
  <c r="O33" i="20"/>
  <c r="O32" i="20"/>
  <c r="O9" i="10"/>
  <c r="O10" i="10"/>
  <c r="O7" i="10"/>
  <c r="O8" i="10"/>
  <c r="O12" i="10"/>
  <c r="O13" i="10"/>
  <c r="O6" i="20"/>
  <c r="O7" i="20"/>
  <c r="O8" i="20"/>
  <c r="O10" i="20"/>
  <c r="O26" i="20"/>
  <c r="O14" i="20"/>
  <c r="O16" i="20"/>
  <c r="O15" i="20"/>
  <c r="O17" i="20"/>
  <c r="O23" i="20"/>
  <c r="O20" i="20"/>
  <c r="O18" i="20"/>
  <c r="O25" i="20"/>
  <c r="O21" i="20"/>
  <c r="O27" i="20"/>
  <c r="O13" i="20"/>
  <c r="O24" i="20"/>
  <c r="O19" i="20"/>
  <c r="O31" i="20"/>
  <c r="O22" i="20"/>
  <c r="O11" i="20"/>
  <c r="O6" i="19"/>
  <c r="O10" i="19"/>
  <c r="O14" i="19"/>
  <c r="O11" i="19"/>
  <c r="O9" i="19"/>
  <c r="O15" i="19"/>
  <c r="O7" i="19"/>
  <c r="O20" i="19"/>
  <c r="O16" i="19"/>
  <c r="O19" i="19"/>
  <c r="O18" i="19"/>
  <c r="O12" i="19"/>
  <c r="O17" i="19"/>
  <c r="O21" i="19"/>
  <c r="O8" i="19"/>
  <c r="O6" i="43"/>
  <c r="O8" i="5"/>
  <c r="O9" i="5"/>
  <c r="O12" i="5"/>
  <c r="O6" i="5"/>
  <c r="O11" i="5"/>
  <c r="O25" i="6"/>
  <c r="O29" i="6"/>
  <c r="O28" i="6"/>
  <c r="O27" i="6"/>
  <c r="O30" i="6"/>
  <c r="O31" i="6"/>
  <c r="O26" i="6"/>
  <c r="O12" i="6"/>
  <c r="O9" i="6"/>
  <c r="O15" i="6"/>
  <c r="O18" i="6"/>
  <c r="O17" i="6"/>
  <c r="O14" i="6"/>
  <c r="O16" i="6"/>
  <c r="O20" i="6"/>
  <c r="O8" i="6"/>
  <c r="O11" i="6"/>
  <c r="O19" i="6"/>
  <c r="O7" i="6"/>
  <c r="O6" i="6"/>
  <c r="O7" i="7"/>
  <c r="O8" i="7"/>
  <c r="O9" i="7"/>
  <c r="O23" i="7"/>
  <c r="O15" i="7"/>
  <c r="O12" i="7"/>
  <c r="O10" i="7"/>
  <c r="O14" i="7"/>
  <c r="O16" i="7"/>
  <c r="O21" i="7"/>
  <c r="O13" i="7"/>
  <c r="O17" i="7"/>
  <c r="O18" i="7"/>
  <c r="O30" i="7"/>
  <c r="O26" i="7"/>
  <c r="O19" i="7"/>
  <c r="O28" i="7"/>
  <c r="O22" i="7"/>
  <c r="O24" i="7"/>
  <c r="O20" i="7"/>
  <c r="O27" i="7"/>
  <c r="O29" i="7"/>
  <c r="O25" i="7"/>
  <c r="O35" i="7"/>
  <c r="O34" i="7"/>
  <c r="O32" i="7"/>
  <c r="O33" i="7"/>
  <c r="O6" i="7"/>
  <c r="O6" i="10"/>
  <c r="O7" i="8"/>
  <c r="O8" i="8"/>
  <c r="O6" i="8"/>
  <c r="O11" i="8"/>
  <c r="O12" i="8"/>
  <c r="O13" i="8"/>
  <c r="O9" i="8"/>
  <c r="O19" i="8"/>
  <c r="O23" i="8"/>
  <c r="O17" i="8"/>
  <c r="O15" i="8"/>
  <c r="O20" i="8"/>
  <c r="O14" i="8"/>
  <c r="O21" i="8"/>
  <c r="O22" i="8"/>
  <c r="O16" i="8"/>
  <c r="O18" i="8"/>
  <c r="O24" i="8"/>
  <c r="O26" i="8"/>
  <c r="O25" i="8"/>
  <c r="O11" i="9"/>
  <c r="O6" i="9"/>
  <c r="O13" i="9"/>
  <c r="O14" i="9"/>
  <c r="O8" i="9"/>
  <c r="O12" i="9"/>
  <c r="O16" i="9"/>
  <c r="O15" i="9"/>
  <c r="O10" i="9"/>
  <c r="O20" i="9"/>
  <c r="O17" i="9"/>
  <c r="O19" i="9"/>
  <c r="O18" i="9"/>
  <c r="O24" i="9"/>
  <c r="O7" i="9"/>
  <c r="O7" i="42"/>
  <c r="O6" i="42"/>
  <c r="O7" i="12"/>
  <c r="O6" i="12"/>
  <c r="O7" i="11"/>
  <c r="O15" i="11"/>
  <c r="O10" i="11"/>
  <c r="O11" i="11"/>
  <c r="O17" i="11"/>
  <c r="O16" i="11"/>
  <c r="O6" i="11"/>
  <c r="O7" i="16"/>
  <c r="O6" i="16"/>
  <c r="O9" i="16"/>
  <c r="O14" i="16"/>
  <c r="O11" i="16"/>
  <c r="O12" i="16"/>
  <c r="O16" i="16"/>
  <c r="O10" i="16"/>
  <c r="O15" i="16"/>
  <c r="O8" i="16"/>
  <c r="O10" i="15"/>
  <c r="O8" i="15"/>
  <c r="O16" i="15"/>
  <c r="O14" i="15"/>
  <c r="O15" i="15"/>
  <c r="O9" i="15"/>
  <c r="O7" i="15"/>
  <c r="O12" i="15"/>
  <c r="O17" i="15"/>
  <c r="O6" i="15"/>
  <c r="O6" i="18"/>
  <c r="O7" i="18"/>
  <c r="O19" i="18"/>
  <c r="O13" i="18"/>
  <c r="O20" i="18"/>
  <c r="O14" i="18"/>
  <c r="O15" i="18"/>
  <c r="O16" i="18"/>
  <c r="O17" i="18"/>
  <c r="O18" i="18"/>
  <c r="O21" i="18"/>
  <c r="O11" i="18"/>
  <c r="O8" i="18"/>
  <c r="O24" i="18"/>
  <c r="O10" i="18"/>
  <c r="O25" i="18"/>
  <c r="O26" i="18"/>
  <c r="O27" i="18"/>
  <c r="O28" i="18"/>
  <c r="O10" i="17" l="1"/>
  <c r="O13" i="17"/>
  <c r="O18" i="17"/>
  <c r="O11" i="17"/>
  <c r="O17" i="17"/>
  <c r="O15" i="17"/>
  <c r="O16" i="17"/>
  <c r="O19" i="17"/>
  <c r="O8" i="17"/>
  <c r="O20" i="17"/>
  <c r="O22" i="17"/>
  <c r="O24" i="17"/>
  <c r="O25" i="17"/>
  <c r="O21" i="17"/>
  <c r="O23" i="17"/>
  <c r="O34" i="17"/>
  <c r="O7" i="17"/>
  <c r="O30" i="17"/>
  <c r="O37" i="17"/>
  <c r="O31" i="17"/>
  <c r="O29" i="17"/>
  <c r="O32" i="17"/>
  <c r="O33" i="17"/>
  <c r="O35" i="17"/>
  <c r="O28" i="17"/>
  <c r="O36" i="17"/>
  <c r="O6" i="17"/>
  <c r="J7" i="40" l="1"/>
  <c r="I7" i="40"/>
  <c r="J6" i="40"/>
  <c r="I6" i="40"/>
  <c r="J8" i="40"/>
  <c r="I8" i="40"/>
  <c r="J6" i="29"/>
  <c r="I6" i="29"/>
  <c r="J8" i="29"/>
  <c r="I8" i="29"/>
  <c r="J9" i="29"/>
  <c r="I9" i="29"/>
  <c r="J7" i="29"/>
  <c r="I7" i="29"/>
  <c r="J8" i="28"/>
  <c r="I8" i="28"/>
  <c r="J14" i="28"/>
  <c r="I14" i="28"/>
  <c r="I12" i="28"/>
  <c r="J15" i="28"/>
  <c r="I15" i="28"/>
  <c r="J10" i="28"/>
  <c r="I10" i="28"/>
  <c r="J18" i="28"/>
  <c r="I18" i="28"/>
  <c r="J6" i="28"/>
  <c r="I6" i="28"/>
  <c r="J7" i="28"/>
  <c r="I7" i="28"/>
  <c r="J6" i="4"/>
  <c r="I6" i="4"/>
  <c r="J7" i="4"/>
  <c r="I7" i="4"/>
  <c r="J6" i="13" l="1"/>
  <c r="I6" i="13"/>
  <c r="J10" i="13"/>
  <c r="I10" i="13"/>
  <c r="J9" i="13"/>
  <c r="I9" i="13"/>
  <c r="J7" i="13"/>
  <c r="I7" i="13"/>
  <c r="J11" i="3"/>
  <c r="I11" i="3"/>
  <c r="J8" i="3"/>
  <c r="I8" i="3"/>
  <c r="J9" i="3"/>
  <c r="I9" i="3"/>
  <c r="J7" i="3"/>
  <c r="I7" i="3"/>
  <c r="J6" i="3"/>
  <c r="I6" i="3"/>
  <c r="J7" i="2" l="1"/>
  <c r="I7" i="2"/>
  <c r="J15" i="2"/>
  <c r="I15" i="2"/>
  <c r="J16" i="2"/>
  <c r="I16" i="2"/>
  <c r="J28" i="2"/>
  <c r="I28" i="2"/>
  <c r="J30" i="2"/>
  <c r="I30" i="2"/>
  <c r="J29" i="2"/>
  <c r="I29" i="2"/>
  <c r="J22" i="2"/>
  <c r="I22" i="2"/>
  <c r="J19" i="2"/>
  <c r="I19" i="2"/>
  <c r="J23" i="2"/>
  <c r="I23" i="2"/>
  <c r="J26" i="2" l="1"/>
  <c r="I26" i="2"/>
  <c r="J17" i="2"/>
  <c r="I17" i="2"/>
  <c r="J6" i="2"/>
  <c r="I6" i="2"/>
  <c r="J9" i="2"/>
  <c r="I9" i="2"/>
  <c r="J11" i="2"/>
  <c r="I11" i="2"/>
  <c r="J24" i="2"/>
  <c r="I24" i="2"/>
  <c r="J12" i="2"/>
  <c r="I12" i="2"/>
  <c r="J20" i="2"/>
  <c r="I20" i="2"/>
  <c r="J18" i="2"/>
  <c r="I18" i="2"/>
  <c r="J13" i="2"/>
  <c r="I13" i="2"/>
  <c r="J10" i="2"/>
  <c r="I10" i="2"/>
  <c r="J16" i="14" l="1"/>
  <c r="I16" i="14"/>
  <c r="J13" i="14"/>
  <c r="I13" i="14"/>
  <c r="J12" i="14"/>
  <c r="I12" i="14"/>
  <c r="J10" i="14"/>
  <c r="I10" i="14"/>
  <c r="J8" i="14"/>
  <c r="I8" i="14"/>
  <c r="J15" i="14"/>
  <c r="I15" i="14"/>
  <c r="J6" i="14"/>
  <c r="I6" i="14"/>
  <c r="J23" i="14"/>
  <c r="I23" i="14"/>
  <c r="J17" i="14"/>
  <c r="I17" i="14"/>
  <c r="J9" i="14"/>
  <c r="I9" i="14"/>
  <c r="J22" i="14"/>
  <c r="I22" i="14"/>
  <c r="J7" i="14"/>
  <c r="I7" i="14"/>
  <c r="J7" i="36"/>
  <c r="I7" i="36"/>
  <c r="J6" i="34"/>
  <c r="I6" i="34"/>
  <c r="J6" i="35"/>
  <c r="I6" i="35"/>
  <c r="J12" i="35"/>
  <c r="I12" i="35"/>
  <c r="J9" i="35"/>
  <c r="I9" i="35"/>
  <c r="J10" i="35"/>
  <c r="I10" i="35"/>
  <c r="J7" i="35"/>
  <c r="I7" i="35"/>
  <c r="J16" i="35"/>
  <c r="I16" i="35"/>
  <c r="J14" i="35"/>
  <c r="I14" i="35"/>
  <c r="J15" i="35"/>
  <c r="I15" i="35"/>
  <c r="J11" i="35"/>
  <c r="I11" i="35"/>
  <c r="G6" i="34"/>
  <c r="J15" i="37"/>
  <c r="I15" i="37"/>
  <c r="J9" i="37"/>
  <c r="I9" i="37"/>
  <c r="J17" i="37"/>
  <c r="I17" i="37"/>
  <c r="J14" i="37"/>
  <c r="I14" i="37"/>
  <c r="J13" i="37"/>
  <c r="I13" i="37"/>
  <c r="J18" i="37"/>
  <c r="I18" i="37"/>
  <c r="J12" i="37"/>
  <c r="I12" i="37"/>
  <c r="J16" i="37"/>
  <c r="I16" i="37"/>
  <c r="J10" i="37"/>
  <c r="I10" i="37"/>
  <c r="J8" i="37"/>
  <c r="I8" i="37"/>
  <c r="J6" i="37"/>
  <c r="I6" i="37"/>
  <c r="J7" i="37"/>
  <c r="I7" i="37"/>
  <c r="J19" i="37"/>
  <c r="I19" i="37"/>
  <c r="J26" i="33"/>
  <c r="I26" i="33"/>
  <c r="J24" i="33"/>
  <c r="I24" i="33"/>
  <c r="J14" i="33"/>
  <c r="I14" i="33"/>
  <c r="J6" i="33"/>
  <c r="I6" i="33"/>
  <c r="J25" i="33"/>
  <c r="I25" i="33"/>
  <c r="J21" i="33"/>
  <c r="I21" i="33"/>
  <c r="J9" i="33"/>
  <c r="I9" i="33"/>
  <c r="J19" i="33"/>
  <c r="I19" i="33"/>
  <c r="J23" i="33"/>
  <c r="I23" i="33"/>
  <c r="J16" i="33"/>
  <c r="I16" i="33"/>
  <c r="J17" i="33"/>
  <c r="I17" i="33"/>
  <c r="J13" i="33"/>
  <c r="I13" i="33"/>
  <c r="J20" i="33"/>
  <c r="I20" i="33"/>
  <c r="J18" i="33"/>
  <c r="I18" i="33"/>
  <c r="J8" i="33"/>
  <c r="I8" i="33"/>
  <c r="J22" i="33"/>
  <c r="I22" i="33"/>
  <c r="J15" i="33"/>
  <c r="I15" i="33"/>
  <c r="J7" i="33"/>
  <c r="I7" i="33"/>
  <c r="J11" i="33"/>
  <c r="I11" i="33"/>
  <c r="J8" i="30"/>
  <c r="I8" i="30"/>
  <c r="J10" i="30"/>
  <c r="I10" i="30"/>
  <c r="J12" i="30"/>
  <c r="I12" i="30"/>
  <c r="J7" i="30"/>
  <c r="I7" i="30"/>
  <c r="J6" i="30"/>
  <c r="I6" i="30"/>
  <c r="J15" i="30"/>
  <c r="I15" i="30"/>
  <c r="J13" i="30"/>
  <c r="I13" i="30"/>
  <c r="J14" i="30"/>
  <c r="I14" i="30"/>
  <c r="J9" i="30"/>
  <c r="I9" i="30"/>
  <c r="J14" i="25"/>
  <c r="I14" i="25"/>
  <c r="J10" i="25"/>
  <c r="I10" i="25"/>
  <c r="J15" i="25"/>
  <c r="I15" i="25"/>
  <c r="J16" i="25"/>
  <c r="I16" i="25"/>
  <c r="J8" i="25"/>
  <c r="I8" i="25"/>
  <c r="J17" i="25"/>
  <c r="I17" i="25"/>
  <c r="J13" i="25"/>
  <c r="I13" i="25"/>
  <c r="J9" i="25"/>
  <c r="I9" i="25"/>
  <c r="J22" i="24"/>
  <c r="I22" i="24"/>
  <c r="J8" i="24"/>
  <c r="I8" i="24"/>
  <c r="J19" i="24"/>
  <c r="I19" i="24"/>
  <c r="J10" i="24"/>
  <c r="I10" i="24"/>
  <c r="J13" i="24"/>
  <c r="I13" i="24"/>
  <c r="J6" i="24"/>
  <c r="I6" i="24"/>
  <c r="J7" i="24"/>
  <c r="I7" i="24"/>
  <c r="J23" i="24"/>
  <c r="I23" i="24"/>
  <c r="J39" i="24"/>
  <c r="I39" i="24"/>
  <c r="J21" i="24"/>
  <c r="I21" i="24"/>
  <c r="J25" i="24"/>
  <c r="I25" i="24"/>
  <c r="J40" i="24"/>
  <c r="I40" i="24"/>
  <c r="J24" i="24"/>
  <c r="I24" i="24"/>
  <c r="J28" i="24"/>
  <c r="I28" i="24"/>
  <c r="J30" i="24"/>
  <c r="I30" i="24"/>
  <c r="J16" i="24"/>
  <c r="I16" i="24"/>
  <c r="J15" i="24"/>
  <c r="I15" i="24"/>
  <c r="J32" i="24"/>
  <c r="I32" i="24"/>
  <c r="J31" i="24"/>
  <c r="I31" i="24"/>
  <c r="J17" i="24"/>
  <c r="I17" i="24"/>
  <c r="J12" i="24"/>
  <c r="I12" i="24"/>
  <c r="J27" i="24"/>
  <c r="I27" i="24"/>
  <c r="J18" i="24"/>
  <c r="I18" i="24"/>
  <c r="J9" i="24"/>
  <c r="I9" i="24"/>
  <c r="J26" i="24"/>
  <c r="I26" i="24"/>
  <c r="J38" i="24"/>
  <c r="I38" i="24"/>
  <c r="J14" i="24"/>
  <c r="I14" i="24"/>
  <c r="J20" i="24"/>
  <c r="I20" i="24"/>
  <c r="J6" i="43" l="1"/>
  <c r="I6" i="43"/>
  <c r="J7" i="43"/>
  <c r="I7" i="43"/>
  <c r="J11" i="5"/>
  <c r="I11" i="5"/>
  <c r="J9" i="5"/>
  <c r="I9" i="5"/>
  <c r="J12" i="5"/>
  <c r="I12" i="5"/>
  <c r="J13" i="5"/>
  <c r="I13" i="5"/>
  <c r="J8" i="5"/>
  <c r="I8" i="5"/>
  <c r="J10" i="5"/>
  <c r="I10" i="5"/>
  <c r="J6" i="5"/>
  <c r="I6" i="5"/>
  <c r="J33" i="6"/>
  <c r="I33" i="6"/>
  <c r="J7" i="6"/>
  <c r="I7" i="6"/>
  <c r="J6" i="6"/>
  <c r="I6" i="6"/>
  <c r="J22" i="6"/>
  <c r="I22" i="6"/>
  <c r="J16" i="6"/>
  <c r="I16" i="6"/>
  <c r="J21" i="6"/>
  <c r="I21" i="6"/>
  <c r="J18" i="6"/>
  <c r="I18" i="6"/>
  <c r="J17" i="6"/>
  <c r="I17" i="6"/>
  <c r="J19" i="6"/>
  <c r="I19" i="6"/>
  <c r="J13" i="6"/>
  <c r="I13" i="6"/>
  <c r="J34" i="6"/>
  <c r="I34" i="6"/>
  <c r="J24" i="6"/>
  <c r="I24" i="6"/>
  <c r="J35" i="6"/>
  <c r="I35" i="6"/>
  <c r="J20" i="6"/>
  <c r="I20" i="6"/>
  <c r="J9" i="6"/>
  <c r="I9" i="6"/>
  <c r="J8" i="6"/>
  <c r="I8" i="6"/>
  <c r="J11" i="6"/>
  <c r="I11" i="6"/>
  <c r="J14" i="6"/>
  <c r="I14" i="6"/>
  <c r="J32" i="6"/>
  <c r="I32" i="6"/>
  <c r="J23" i="6"/>
  <c r="I23" i="6"/>
  <c r="J15" i="6"/>
  <c r="I15" i="6"/>
  <c r="J9" i="9"/>
  <c r="I9" i="9"/>
  <c r="J7" i="42"/>
  <c r="I7" i="42"/>
  <c r="J6" i="42"/>
  <c r="I6" i="42"/>
  <c r="J7" i="12"/>
  <c r="I7" i="12"/>
  <c r="J6" i="12"/>
  <c r="I6" i="12"/>
  <c r="J9" i="15"/>
  <c r="I9" i="15"/>
  <c r="J8" i="15"/>
  <c r="I8" i="15"/>
  <c r="J15" i="15"/>
  <c r="I15" i="15"/>
  <c r="J10" i="15"/>
  <c r="I10" i="15"/>
  <c r="J11" i="15"/>
  <c r="I11" i="15"/>
  <c r="J7" i="15"/>
  <c r="I7" i="15"/>
  <c r="J12" i="15"/>
  <c r="I12" i="15"/>
  <c r="J16" i="32" l="1"/>
  <c r="I16" i="32"/>
  <c r="J17" i="32"/>
  <c r="I17" i="32"/>
  <c r="J15" i="32"/>
  <c r="J7" i="32"/>
  <c r="I15" i="32"/>
  <c r="J14" i="32"/>
  <c r="I14" i="32"/>
  <c r="I7" i="32"/>
  <c r="J6" i="32"/>
  <c r="I6" i="32"/>
  <c r="J9" i="32"/>
  <c r="I9" i="32"/>
  <c r="J8" i="32"/>
  <c r="I8" i="32"/>
  <c r="J20" i="32"/>
  <c r="I20" i="32"/>
  <c r="J19" i="32"/>
  <c r="I19" i="32"/>
  <c r="J10" i="32"/>
  <c r="I10" i="32"/>
  <c r="J7" i="41" l="1"/>
  <c r="I7" i="41"/>
  <c r="J10" i="41"/>
  <c r="I10" i="41"/>
  <c r="J8" i="41"/>
  <c r="I8" i="41"/>
  <c r="J6" i="41"/>
  <c r="I6" i="41"/>
  <c r="J7" i="38"/>
  <c r="I7" i="38"/>
  <c r="J13" i="38"/>
  <c r="I13" i="38"/>
  <c r="J14" i="38"/>
  <c r="I14" i="38"/>
  <c r="J9" i="38"/>
  <c r="I9" i="38"/>
  <c r="J6" i="38"/>
  <c r="I6" i="38"/>
  <c r="J15" i="38"/>
  <c r="I15" i="38"/>
  <c r="J11" i="38"/>
  <c r="I11" i="38"/>
  <c r="J8" i="38"/>
  <c r="I8" i="38"/>
  <c r="J9" i="39"/>
  <c r="I9" i="39"/>
  <c r="J17" i="39"/>
  <c r="I17" i="39"/>
  <c r="J8" i="39"/>
  <c r="I8" i="39"/>
  <c r="J7" i="39"/>
  <c r="I7" i="39"/>
  <c r="J12" i="39"/>
  <c r="I12" i="39"/>
  <c r="J11" i="39"/>
  <c r="I11" i="39"/>
  <c r="J14" i="39"/>
  <c r="I14" i="39"/>
  <c r="J6" i="39"/>
  <c r="I6" i="39"/>
  <c r="J16" i="39"/>
  <c r="I16" i="39"/>
  <c r="J19" i="28"/>
  <c r="I19" i="28"/>
  <c r="J9" i="28"/>
  <c r="I9" i="28"/>
  <c r="J10" i="31"/>
  <c r="I10" i="31"/>
  <c r="J18" i="31"/>
  <c r="I18" i="31"/>
  <c r="J9" i="31"/>
  <c r="I9" i="31"/>
  <c r="J6" i="31"/>
  <c r="I6" i="31"/>
  <c r="J7" i="31"/>
  <c r="I7" i="31"/>
  <c r="J8" i="31"/>
  <c r="I8" i="31"/>
  <c r="J11" i="31"/>
  <c r="I11" i="31"/>
  <c r="J14" i="31"/>
  <c r="I14" i="31"/>
  <c r="J19" i="31"/>
  <c r="I19" i="31"/>
  <c r="J20" i="7"/>
  <c r="I20" i="7"/>
  <c r="J24" i="7"/>
  <c r="I24" i="7"/>
  <c r="J27" i="7"/>
  <c r="I27" i="7"/>
  <c r="J37" i="7"/>
  <c r="I37" i="7"/>
  <c r="J36" i="7"/>
  <c r="I36" i="7"/>
  <c r="J15" i="7"/>
  <c r="I15" i="7"/>
  <c r="J25" i="7"/>
  <c r="I25" i="7"/>
  <c r="J11" i="7"/>
  <c r="I11" i="7"/>
  <c r="J6" i="7"/>
  <c r="I6" i="7"/>
  <c r="J28" i="7"/>
  <c r="I28" i="7"/>
  <c r="J16" i="7"/>
  <c r="I16" i="7"/>
  <c r="J22" i="7"/>
  <c r="I22" i="7"/>
  <c r="J10" i="7"/>
  <c r="I10" i="7"/>
  <c r="I14" i="7"/>
  <c r="J14" i="7"/>
  <c r="J13" i="7"/>
  <c r="I13" i="7"/>
  <c r="J29" i="7"/>
  <c r="I29" i="7"/>
  <c r="J17" i="7"/>
  <c r="I17" i="7"/>
  <c r="J12" i="7"/>
  <c r="I12" i="7"/>
  <c r="J18" i="7"/>
  <c r="I18" i="7"/>
  <c r="J19" i="7"/>
  <c r="I19" i="7"/>
  <c r="J8" i="7"/>
  <c r="I8" i="7"/>
  <c r="J7" i="7"/>
  <c r="I7" i="7"/>
  <c r="J31" i="7"/>
  <c r="I31" i="7"/>
  <c r="J9" i="7"/>
  <c r="I9" i="7"/>
  <c r="J17" i="20"/>
  <c r="I17" i="20"/>
  <c r="J15" i="20"/>
  <c r="I15" i="20"/>
  <c r="J22" i="20"/>
  <c r="I22" i="20"/>
  <c r="J30" i="20"/>
  <c r="I30" i="20"/>
  <c r="J18" i="20"/>
  <c r="I18" i="20"/>
  <c r="J36" i="20"/>
  <c r="I36" i="20"/>
  <c r="J27" i="20"/>
  <c r="I27" i="20"/>
  <c r="J25" i="20"/>
  <c r="I25" i="20"/>
  <c r="J24" i="20"/>
  <c r="I24" i="20"/>
  <c r="J20" i="20"/>
  <c r="I20" i="20"/>
  <c r="J21" i="20"/>
  <c r="I21" i="20"/>
  <c r="J35" i="20"/>
  <c r="I35" i="20"/>
  <c r="J19" i="20"/>
  <c r="I19" i="20"/>
  <c r="J38" i="20"/>
  <c r="I38" i="20"/>
  <c r="J34" i="20"/>
  <c r="I34" i="20"/>
  <c r="J8" i="20"/>
  <c r="I8" i="20"/>
  <c r="J7" i="20"/>
  <c r="I7" i="20"/>
  <c r="J37" i="20"/>
  <c r="I37" i="20"/>
  <c r="J28" i="20"/>
  <c r="I28" i="20"/>
  <c r="J16" i="20"/>
  <c r="I16" i="20"/>
  <c r="J39" i="20"/>
  <c r="I39" i="20"/>
  <c r="J29" i="20"/>
  <c r="I29" i="20"/>
  <c r="J10" i="20"/>
  <c r="I10" i="20"/>
  <c r="J6" i="20"/>
  <c r="I6" i="20"/>
  <c r="J23" i="20"/>
  <c r="I23" i="20"/>
  <c r="J13" i="20"/>
  <c r="I13" i="20"/>
  <c r="J14" i="20"/>
  <c r="I14" i="20"/>
  <c r="J11" i="27"/>
  <c r="I11" i="27"/>
  <c r="J8" i="27"/>
  <c r="I8" i="27"/>
  <c r="J14" i="27"/>
  <c r="I14" i="27"/>
  <c r="J19" i="27"/>
  <c r="I19" i="27"/>
  <c r="J20" i="27"/>
  <c r="I20" i="27"/>
  <c r="J9" i="27"/>
  <c r="I9" i="27"/>
  <c r="J22" i="27"/>
  <c r="I22" i="27"/>
  <c r="J18" i="27"/>
  <c r="I18" i="27"/>
  <c r="J23" i="27"/>
  <c r="I23" i="27"/>
  <c r="J16" i="27"/>
  <c r="I16" i="27"/>
  <c r="J24" i="27"/>
  <c r="I24" i="27"/>
  <c r="J12" i="27"/>
  <c r="I12" i="27"/>
  <c r="J17" i="27"/>
  <c r="I17" i="27"/>
  <c r="J21" i="27"/>
  <c r="I21" i="27"/>
  <c r="J15" i="27"/>
  <c r="I15" i="27"/>
  <c r="J6" i="27"/>
  <c r="I6" i="27"/>
  <c r="J13" i="27"/>
  <c r="I13" i="27"/>
  <c r="J10" i="27"/>
  <c r="I10" i="27"/>
  <c r="J13" i="19" l="1"/>
  <c r="I13" i="19"/>
  <c r="J22" i="19"/>
  <c r="I22" i="19"/>
  <c r="J17" i="19"/>
  <c r="I17" i="19"/>
  <c r="J20" i="19"/>
  <c r="I20" i="19"/>
  <c r="J10" i="19"/>
  <c r="I10" i="19"/>
  <c r="J6" i="19"/>
  <c r="I6" i="19"/>
  <c r="J7" i="19"/>
  <c r="I7" i="19"/>
  <c r="J15" i="19"/>
  <c r="I15" i="19"/>
  <c r="J11" i="19"/>
  <c r="I11" i="19"/>
  <c r="J14" i="19"/>
  <c r="I14" i="19"/>
  <c r="J9" i="19"/>
  <c r="I9" i="19"/>
  <c r="J24" i="19"/>
  <c r="I24" i="19"/>
  <c r="J16" i="19"/>
  <c r="I16" i="19"/>
  <c r="J12" i="19"/>
  <c r="I12" i="19"/>
  <c r="J19" i="19"/>
  <c r="I19" i="19"/>
  <c r="J18" i="19"/>
  <c r="I18" i="19"/>
  <c r="J23" i="19"/>
  <c r="I23" i="19"/>
  <c r="J12" i="1"/>
  <c r="I12" i="1"/>
  <c r="J17" i="1"/>
  <c r="I17" i="1"/>
  <c r="J7" i="1"/>
  <c r="I7" i="1"/>
  <c r="J10" i="1"/>
  <c r="I10" i="1"/>
  <c r="J16" i="1"/>
  <c r="I16" i="1"/>
  <c r="J14" i="1"/>
  <c r="I14" i="1"/>
  <c r="J9" i="1"/>
  <c r="I9" i="1"/>
  <c r="J6" i="1"/>
  <c r="I6" i="1"/>
  <c r="J13" i="1"/>
  <c r="I13" i="1"/>
  <c r="J12" i="26"/>
  <c r="I12" i="26"/>
  <c r="J14" i="26"/>
  <c r="I14" i="26"/>
  <c r="J13" i="26"/>
  <c r="I13" i="26"/>
  <c r="J10" i="26"/>
  <c r="I10" i="26"/>
  <c r="J6" i="26"/>
  <c r="I6" i="26"/>
  <c r="J8" i="26"/>
  <c r="I8" i="26"/>
  <c r="J9" i="26"/>
  <c r="I9" i="26"/>
  <c r="J11" i="21"/>
  <c r="I11" i="21"/>
  <c r="J8" i="21"/>
  <c r="I8" i="21"/>
  <c r="J7" i="21"/>
  <c r="I7" i="21"/>
  <c r="J15" i="21"/>
  <c r="I15" i="21"/>
  <c r="J9" i="21"/>
  <c r="I9" i="21"/>
  <c r="J22" i="23"/>
  <c r="I22" i="23"/>
  <c r="J17" i="23"/>
  <c r="I17" i="23"/>
  <c r="J7" i="23"/>
  <c r="I7" i="23"/>
  <c r="J20" i="23"/>
  <c r="I20" i="23"/>
  <c r="J21" i="23"/>
  <c r="I21" i="23"/>
  <c r="J18" i="23"/>
  <c r="I18" i="23"/>
  <c r="J16" i="23"/>
  <c r="I16" i="23"/>
  <c r="J31" i="23"/>
  <c r="I31" i="23"/>
  <c r="J11" i="23"/>
  <c r="I11" i="23"/>
  <c r="J9" i="23"/>
  <c r="I9" i="23"/>
  <c r="J8" i="23"/>
  <c r="I8" i="23"/>
  <c r="J10" i="23"/>
  <c r="I10" i="23"/>
  <c r="J15" i="23"/>
  <c r="I15" i="23"/>
  <c r="J6" i="23"/>
  <c r="I6" i="23"/>
  <c r="J12" i="23"/>
  <c r="I12" i="23"/>
  <c r="J30" i="23"/>
  <c r="I30" i="23"/>
  <c r="J19" i="23"/>
  <c r="I19" i="23"/>
  <c r="J13" i="23"/>
  <c r="I13" i="23"/>
  <c r="J23" i="23"/>
  <c r="I23" i="23"/>
  <c r="J22" i="9"/>
  <c r="I22" i="9"/>
  <c r="J23" i="9"/>
  <c r="I23" i="9"/>
  <c r="J12" i="9"/>
  <c r="I12" i="9"/>
  <c r="J25" i="9"/>
  <c r="I25" i="9"/>
  <c r="J14" i="9"/>
  <c r="I14" i="9"/>
  <c r="J21" i="9"/>
  <c r="I21" i="9"/>
  <c r="J17" i="9"/>
  <c r="I17" i="9"/>
  <c r="J20" i="9"/>
  <c r="I20" i="9"/>
  <c r="J18" i="9"/>
  <c r="I18" i="9"/>
  <c r="J27" i="9"/>
  <c r="I27" i="9"/>
  <c r="J26" i="9"/>
  <c r="I26" i="9"/>
  <c r="J6" i="9"/>
  <c r="I6" i="9"/>
  <c r="J13" i="9"/>
  <c r="I13" i="9"/>
  <c r="J11" i="9"/>
  <c r="I11" i="9"/>
  <c r="J8" i="9"/>
  <c r="I8" i="9"/>
  <c r="J19" i="9"/>
  <c r="I19" i="9"/>
  <c r="J10" i="9"/>
  <c r="I10" i="9"/>
  <c r="J16" i="9"/>
  <c r="I16" i="9"/>
  <c r="J14" i="8"/>
  <c r="I14" i="8"/>
  <c r="J9" i="8"/>
  <c r="I9" i="8"/>
  <c r="J6" i="8"/>
  <c r="I6" i="8"/>
  <c r="J28" i="8"/>
  <c r="K28" i="8" s="1"/>
  <c r="I28" i="8"/>
  <c r="J15" i="8"/>
  <c r="I15" i="8"/>
  <c r="J17" i="8"/>
  <c r="I17" i="8"/>
  <c r="J20" i="8"/>
  <c r="I20" i="8"/>
  <c r="J27" i="8"/>
  <c r="I27" i="8"/>
  <c r="J13" i="8"/>
  <c r="I13" i="8"/>
  <c r="J16" i="8"/>
  <c r="I16" i="8"/>
  <c r="J23" i="8"/>
  <c r="I23" i="8"/>
  <c r="J18" i="8"/>
  <c r="I18" i="8"/>
  <c r="J12" i="8"/>
  <c r="I12" i="8"/>
  <c r="J11" i="8"/>
  <c r="I11" i="8"/>
  <c r="J29" i="8"/>
  <c r="I29" i="8"/>
  <c r="J22" i="8"/>
  <c r="I22" i="8"/>
  <c r="J21" i="8"/>
  <c r="I21" i="8"/>
  <c r="J8" i="8"/>
  <c r="I8" i="8"/>
  <c r="J7" i="8"/>
  <c r="I7" i="8"/>
  <c r="J7" i="10"/>
  <c r="I7" i="10"/>
  <c r="J16" i="10"/>
  <c r="I16" i="10"/>
  <c r="J15" i="10"/>
  <c r="I15" i="10"/>
  <c r="J14" i="10"/>
  <c r="I14" i="10"/>
  <c r="J8" i="10"/>
  <c r="I8" i="10"/>
  <c r="J11" i="10"/>
  <c r="I11" i="10"/>
  <c r="J9" i="10"/>
  <c r="I9" i="10"/>
  <c r="J12" i="16"/>
  <c r="I12" i="16"/>
  <c r="J6" i="16"/>
  <c r="I6" i="16"/>
  <c r="J11" i="16"/>
  <c r="I11" i="16"/>
  <c r="J15" i="11"/>
  <c r="I15" i="11"/>
  <c r="J6" i="11"/>
  <c r="I6" i="11"/>
  <c r="J11" i="11"/>
  <c r="I11" i="11"/>
  <c r="J9" i="11"/>
  <c r="I9" i="11"/>
  <c r="J10" i="11"/>
  <c r="I10" i="11"/>
  <c r="J13" i="11"/>
  <c r="I13" i="11"/>
  <c r="J8" i="11"/>
  <c r="I8" i="11"/>
  <c r="J12" i="17"/>
  <c r="I12" i="17"/>
  <c r="J8" i="17"/>
  <c r="I8" i="17"/>
  <c r="J20" i="17"/>
  <c r="I20" i="17"/>
  <c r="J22" i="17"/>
  <c r="I22" i="17"/>
  <c r="J24" i="17"/>
  <c r="I24" i="17"/>
  <c r="J23" i="17"/>
  <c r="I23" i="17"/>
  <c r="J6" i="17"/>
  <c r="I6" i="17"/>
  <c r="J11" i="17"/>
  <c r="I11" i="17"/>
  <c r="J39" i="17"/>
  <c r="I39" i="17"/>
  <c r="J19" i="17"/>
  <c r="I19" i="17"/>
  <c r="J21" i="17"/>
  <c r="I21" i="17"/>
  <c r="J18" i="17"/>
  <c r="I18" i="17"/>
  <c r="J16" i="17"/>
  <c r="I16" i="17"/>
  <c r="J25" i="17"/>
  <c r="I25" i="17"/>
  <c r="J26" i="17"/>
  <c r="I26" i="17"/>
  <c r="J17" i="17"/>
  <c r="I17" i="17"/>
  <c r="J15" i="17"/>
  <c r="I15" i="17"/>
  <c r="J11" i="18"/>
  <c r="I11" i="18"/>
  <c r="J17" i="18"/>
  <c r="I17" i="18"/>
  <c r="J21" i="18"/>
  <c r="I21" i="18"/>
  <c r="J7" i="18"/>
  <c r="I7" i="18"/>
  <c r="J8" i="18"/>
  <c r="I8" i="18"/>
  <c r="J15" i="18"/>
  <c r="I15" i="18"/>
  <c r="J18" i="18"/>
  <c r="I18" i="18"/>
  <c r="J14" i="18"/>
  <c r="I14" i="18"/>
  <c r="J13" i="18"/>
  <c r="I13" i="18"/>
  <c r="J16" i="18"/>
  <c r="I16" i="18"/>
  <c r="J23" i="18"/>
  <c r="I23" i="18"/>
  <c r="J6" i="18"/>
  <c r="I6" i="18"/>
  <c r="J27" i="17"/>
  <c r="I27" i="17"/>
  <c r="J38" i="17"/>
  <c r="I38" i="17"/>
  <c r="K12" i="15" l="1"/>
  <c r="K10" i="41" l="1"/>
  <c r="K7" i="41"/>
  <c r="K6" i="41"/>
  <c r="K8" i="41"/>
  <c r="K8" i="40"/>
  <c r="K7" i="40"/>
  <c r="K6" i="40"/>
  <c r="K9" i="40"/>
  <c r="K10" i="29"/>
  <c r="K9" i="29"/>
  <c r="K8" i="29"/>
  <c r="K7" i="29"/>
  <c r="K6" i="29"/>
  <c r="K19" i="28"/>
  <c r="K14" i="28"/>
  <c r="K12" i="28"/>
  <c r="K9" i="28"/>
  <c r="K18" i="28"/>
  <c r="K15" i="28"/>
  <c r="K10" i="28"/>
  <c r="K8" i="28"/>
  <c r="K7" i="28"/>
  <c r="K6" i="28"/>
  <c r="K7" i="4"/>
  <c r="K6" i="4"/>
  <c r="K12" i="1"/>
  <c r="K14" i="1"/>
  <c r="K17" i="1"/>
  <c r="K13" i="1"/>
  <c r="K16" i="1"/>
  <c r="K9" i="1"/>
  <c r="K10" i="1"/>
  <c r="K7" i="1"/>
  <c r="K6" i="1"/>
  <c r="K7" i="13"/>
  <c r="K10" i="13"/>
  <c r="K9" i="13"/>
  <c r="K6" i="13"/>
  <c r="K14" i="39"/>
  <c r="K11" i="39"/>
  <c r="K8" i="39"/>
  <c r="K16" i="39"/>
  <c r="K9" i="39"/>
  <c r="K17" i="39"/>
  <c r="K12" i="39"/>
  <c r="K7" i="39"/>
  <c r="K6" i="39"/>
  <c r="K7" i="38"/>
  <c r="K15" i="38"/>
  <c r="K11" i="38"/>
  <c r="K13" i="38"/>
  <c r="K14" i="38"/>
  <c r="K9" i="38"/>
  <c r="K8" i="38"/>
  <c r="K6" i="38"/>
  <c r="K9" i="26"/>
  <c r="K13" i="26"/>
  <c r="K14" i="26"/>
  <c r="K10" i="26"/>
  <c r="K12" i="26"/>
  <c r="K8" i="26"/>
  <c r="K6" i="26"/>
  <c r="K20" i="27"/>
  <c r="K21" i="27"/>
  <c r="K17" i="27"/>
  <c r="K23" i="27"/>
  <c r="K16" i="27"/>
  <c r="K12" i="27"/>
  <c r="K10" i="27"/>
  <c r="K18" i="27"/>
  <c r="K24" i="27"/>
  <c r="K22" i="27"/>
  <c r="K19" i="27"/>
  <c r="K14" i="27"/>
  <c r="K15" i="27"/>
  <c r="K13" i="27"/>
  <c r="K8" i="27"/>
  <c r="K11" i="27"/>
  <c r="K6" i="27"/>
  <c r="K9" i="27"/>
  <c r="K11" i="3"/>
  <c r="K8" i="3"/>
  <c r="K9" i="3"/>
  <c r="K7" i="3"/>
  <c r="K6" i="3"/>
  <c r="K7" i="2"/>
  <c r="K23" i="2"/>
  <c r="K29" i="2"/>
  <c r="K13" i="2"/>
  <c r="K28" i="2"/>
  <c r="K24" i="2"/>
  <c r="K30" i="2"/>
  <c r="K22" i="2"/>
  <c r="K19" i="2"/>
  <c r="K20" i="2"/>
  <c r="K15" i="2"/>
  <c r="K10" i="2"/>
  <c r="K16" i="2"/>
  <c r="K9" i="2"/>
  <c r="K17" i="2"/>
  <c r="K26" i="2"/>
  <c r="K18" i="2"/>
  <c r="K12" i="2"/>
  <c r="K11" i="2"/>
  <c r="K6" i="2"/>
  <c r="K23" i="14"/>
  <c r="K22" i="14"/>
  <c r="K15" i="14"/>
  <c r="K16" i="14"/>
  <c r="K17" i="14"/>
  <c r="K10" i="14"/>
  <c r="K13" i="14"/>
  <c r="K12" i="14"/>
  <c r="K9" i="14"/>
  <c r="K6" i="14"/>
  <c r="K8" i="14"/>
  <c r="K7" i="14"/>
  <c r="K6" i="34"/>
  <c r="K7" i="36"/>
  <c r="K15" i="35"/>
  <c r="K9" i="35"/>
  <c r="K11" i="35"/>
  <c r="K12" i="35"/>
  <c r="K14" i="35"/>
  <c r="K16" i="35"/>
  <c r="K10" i="35"/>
  <c r="K7" i="35"/>
  <c r="K6" i="35"/>
  <c r="K19" i="37"/>
  <c r="K12" i="37"/>
  <c r="K15" i="37"/>
  <c r="K8" i="37"/>
  <c r="K16" i="37"/>
  <c r="K14" i="37"/>
  <c r="K13" i="37"/>
  <c r="K17" i="37"/>
  <c r="K18" i="37"/>
  <c r="K9" i="37"/>
  <c r="K10" i="37"/>
  <c r="K7" i="37"/>
  <c r="K6" i="37"/>
  <c r="K22" i="33"/>
  <c r="K15" i="33"/>
  <c r="K13" i="33"/>
  <c r="K6" i="33"/>
  <c r="K24" i="33"/>
  <c r="K14" i="33"/>
  <c r="K20" i="33"/>
  <c r="K8" i="33"/>
  <c r="K18" i="33"/>
  <c r="K19" i="33"/>
  <c r="K17" i="33"/>
  <c r="K16" i="33"/>
  <c r="K23" i="33"/>
  <c r="K26" i="33"/>
  <c r="K21" i="33"/>
  <c r="K25" i="33"/>
  <c r="K9" i="33"/>
  <c r="K11" i="33"/>
  <c r="K7" i="33"/>
  <c r="K18" i="31"/>
  <c r="K9" i="31"/>
  <c r="K19" i="31"/>
  <c r="K10" i="31"/>
  <c r="K11" i="31"/>
  <c r="K14" i="31"/>
  <c r="K8" i="31"/>
  <c r="K7" i="31"/>
  <c r="K6" i="31"/>
  <c r="K16" i="32"/>
  <c r="K8" i="32"/>
  <c r="K7" i="32"/>
  <c r="K15" i="32"/>
  <c r="K17" i="32"/>
  <c r="K20" i="32"/>
  <c r="K19" i="32"/>
  <c r="K14" i="32"/>
  <c r="K10" i="32"/>
  <c r="K9" i="32"/>
  <c r="K6" i="32"/>
  <c r="K15" i="30"/>
  <c r="K13" i="30"/>
  <c r="K14" i="30"/>
  <c r="K9" i="30"/>
  <c r="K8" i="30"/>
  <c r="K10" i="30"/>
  <c r="K12" i="30"/>
  <c r="K7" i="30"/>
  <c r="K6" i="30"/>
  <c r="K15" i="21"/>
  <c r="K9" i="21"/>
  <c r="K7" i="21"/>
  <c r="K11" i="21"/>
  <c r="K8" i="21"/>
  <c r="K16" i="25"/>
  <c r="K17" i="25"/>
  <c r="K8" i="25"/>
  <c r="K15" i="25"/>
  <c r="K14" i="25"/>
  <c r="K10" i="25"/>
  <c r="K9" i="25"/>
  <c r="K13" i="25"/>
  <c r="K6" i="25"/>
  <c r="K7" i="23"/>
  <c r="K17" i="23"/>
  <c r="K22" i="23"/>
  <c r="K20" i="23"/>
  <c r="K23" i="23"/>
  <c r="K21" i="23"/>
  <c r="K18" i="23"/>
  <c r="K11" i="23"/>
  <c r="K16" i="23"/>
  <c r="K10" i="23"/>
  <c r="K31" i="23"/>
  <c r="K30" i="23"/>
  <c r="K15" i="23"/>
  <c r="K19" i="23"/>
  <c r="K13" i="23"/>
  <c r="K12" i="23"/>
  <c r="K8" i="23"/>
  <c r="K9" i="23"/>
  <c r="K6" i="23"/>
  <c r="K24" i="24"/>
  <c r="K12" i="24"/>
  <c r="K23" i="24"/>
  <c r="K21" i="24"/>
  <c r="K39" i="24"/>
  <c r="K19" i="24"/>
  <c r="K27" i="24"/>
  <c r="K8" i="24"/>
  <c r="K38" i="24"/>
  <c r="K9" i="24"/>
  <c r="K18" i="24"/>
  <c r="K40" i="24"/>
  <c r="K25" i="24"/>
  <c r="K20" i="24"/>
  <c r="K28" i="24"/>
  <c r="K22" i="24"/>
  <c r="K26" i="24"/>
  <c r="K32" i="24"/>
  <c r="K16" i="24"/>
  <c r="K17" i="24"/>
  <c r="K15" i="24"/>
  <c r="K30" i="24"/>
  <c r="K14" i="24"/>
  <c r="K31" i="24"/>
  <c r="K13" i="24"/>
  <c r="K10" i="24"/>
  <c r="K7" i="24"/>
  <c r="K6" i="24"/>
  <c r="K22" i="20"/>
  <c r="K37" i="20"/>
  <c r="K19" i="20"/>
  <c r="K24" i="20"/>
  <c r="K34" i="20"/>
  <c r="K13" i="20"/>
  <c r="K27" i="20"/>
  <c r="K35" i="20"/>
  <c r="K21" i="20"/>
  <c r="K25" i="20"/>
  <c r="K18" i="20"/>
  <c r="K20" i="20"/>
  <c r="K23" i="20"/>
  <c r="K39" i="20"/>
  <c r="K38" i="20"/>
  <c r="K36" i="20"/>
  <c r="K17" i="20"/>
  <c r="K30" i="20"/>
  <c r="K15" i="20"/>
  <c r="K16" i="20"/>
  <c r="K14" i="20"/>
  <c r="K28" i="20"/>
  <c r="K29" i="20"/>
  <c r="K10" i="20"/>
  <c r="K8" i="20"/>
  <c r="K7" i="20"/>
  <c r="K6" i="20"/>
  <c r="K17" i="19"/>
  <c r="K12" i="19"/>
  <c r="K18" i="19"/>
  <c r="K23" i="19"/>
  <c r="K19" i="19"/>
  <c r="K16" i="19"/>
  <c r="K22" i="19"/>
  <c r="K20" i="19"/>
  <c r="K7" i="19"/>
  <c r="K24" i="19"/>
  <c r="K15" i="19"/>
  <c r="K9" i="19"/>
  <c r="K11" i="19"/>
  <c r="K14" i="19"/>
  <c r="K13" i="19"/>
  <c r="K10" i="19"/>
  <c r="K6" i="19"/>
  <c r="K6" i="43"/>
  <c r="K7" i="43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11" i="5"/>
  <c r="K6" i="5"/>
  <c r="K12" i="5"/>
  <c r="K13" i="5"/>
  <c r="K10" i="5"/>
  <c r="K9" i="5"/>
  <c r="K8" i="5"/>
  <c r="K33" i="6"/>
  <c r="K7" i="6"/>
  <c r="K32" i="6"/>
  <c r="K13" i="6"/>
  <c r="K19" i="6"/>
  <c r="K11" i="6"/>
  <c r="K8" i="6"/>
  <c r="K34" i="6"/>
  <c r="K20" i="6"/>
  <c r="K35" i="6"/>
  <c r="K24" i="6"/>
  <c r="K23" i="6"/>
  <c r="K16" i="6"/>
  <c r="K14" i="6"/>
  <c r="K21" i="6"/>
  <c r="K22" i="6"/>
  <c r="K17" i="6"/>
  <c r="K18" i="6"/>
  <c r="K15" i="6"/>
  <c r="K9" i="6"/>
  <c r="K6" i="6"/>
  <c r="K24" i="7"/>
  <c r="K20" i="7"/>
  <c r="K27" i="7"/>
  <c r="K36" i="7"/>
  <c r="K11" i="7"/>
  <c r="K37" i="7"/>
  <c r="K29" i="7"/>
  <c r="K25" i="7"/>
  <c r="K22" i="7"/>
  <c r="K28" i="7"/>
  <c r="K19" i="7"/>
  <c r="K18" i="7"/>
  <c r="K17" i="7"/>
  <c r="K13" i="7"/>
  <c r="K16" i="7"/>
  <c r="K14" i="7"/>
  <c r="K31" i="7"/>
  <c r="K10" i="7"/>
  <c r="K12" i="7"/>
  <c r="K15" i="7"/>
  <c r="K9" i="7"/>
  <c r="K8" i="7"/>
  <c r="K7" i="7"/>
  <c r="K6" i="7"/>
  <c r="K29" i="8"/>
  <c r="K18" i="8"/>
  <c r="K16" i="8"/>
  <c r="K22" i="8"/>
  <c r="K21" i="8"/>
  <c r="K27" i="8"/>
  <c r="K14" i="8"/>
  <c r="K20" i="8"/>
  <c r="K15" i="8"/>
  <c r="K17" i="8"/>
  <c r="K23" i="8"/>
  <c r="K9" i="8"/>
  <c r="K13" i="8"/>
  <c r="K12" i="8"/>
  <c r="K11" i="8"/>
  <c r="K6" i="8"/>
  <c r="K8" i="8"/>
  <c r="K7" i="8"/>
  <c r="K18" i="9"/>
  <c r="K25" i="9"/>
  <c r="K19" i="9"/>
  <c r="K26" i="9"/>
  <c r="K27" i="9"/>
  <c r="K17" i="9"/>
  <c r="K20" i="9"/>
  <c r="K23" i="9"/>
  <c r="K10" i="9"/>
  <c r="K22" i="9"/>
  <c r="K15" i="9"/>
  <c r="K21" i="9"/>
  <c r="K16" i="9"/>
  <c r="K12" i="9"/>
  <c r="K8" i="9"/>
  <c r="K14" i="9"/>
  <c r="K13" i="9"/>
  <c r="K6" i="9"/>
  <c r="K9" i="9"/>
  <c r="K11" i="9"/>
  <c r="K7" i="9"/>
  <c r="K7" i="42"/>
  <c r="K6" i="42"/>
  <c r="K7" i="12"/>
  <c r="K6" i="12"/>
  <c r="K16" i="10"/>
  <c r="K14" i="10"/>
  <c r="K11" i="10"/>
  <c r="K8" i="10"/>
  <c r="K15" i="10"/>
  <c r="K7" i="10"/>
  <c r="K9" i="10"/>
  <c r="K11" i="11"/>
  <c r="K13" i="11"/>
  <c r="K9" i="11"/>
  <c r="K10" i="11"/>
  <c r="K15" i="11"/>
  <c r="K8" i="11"/>
  <c r="K6" i="11"/>
  <c r="K12" i="16"/>
  <c r="K11" i="16"/>
  <c r="K9" i="16"/>
  <c r="K6" i="16"/>
  <c r="K35" i="15"/>
  <c r="K34" i="15"/>
  <c r="K33" i="15"/>
  <c r="K32" i="15"/>
  <c r="K31" i="15"/>
  <c r="K30" i="15"/>
  <c r="K29" i="15"/>
  <c r="K28" i="15"/>
  <c r="K27" i="15"/>
  <c r="K26" i="15"/>
  <c r="K7" i="15"/>
  <c r="K11" i="15"/>
  <c r="K9" i="15"/>
  <c r="K15" i="15"/>
  <c r="K14" i="15"/>
  <c r="K8" i="15"/>
  <c r="K10" i="15"/>
  <c r="K8" i="18"/>
  <c r="K11" i="18"/>
  <c r="K21" i="18"/>
  <c r="K23" i="18"/>
  <c r="K18" i="18"/>
  <c r="K17" i="18"/>
  <c r="K16" i="18"/>
  <c r="K15" i="18"/>
  <c r="K14" i="18"/>
  <c r="K13" i="18"/>
  <c r="K7" i="18"/>
  <c r="K6" i="18"/>
  <c r="G6" i="42" l="1"/>
  <c r="K27" i="17"/>
  <c r="K26" i="17"/>
  <c r="K18" i="17"/>
  <c r="K11" i="17"/>
  <c r="K17" i="17"/>
  <c r="K15" i="17"/>
  <c r="K16" i="17"/>
  <c r="K19" i="17"/>
  <c r="K8" i="17"/>
  <c r="K12" i="17"/>
  <c r="K20" i="17"/>
  <c r="K22" i="17"/>
  <c r="K24" i="17"/>
  <c r="K38" i="17"/>
  <c r="K25" i="17"/>
  <c r="K39" i="17"/>
  <c r="K21" i="17"/>
  <c r="K23" i="17"/>
  <c r="K7" i="17"/>
  <c r="K6" i="17"/>
  <c r="G8" i="41"/>
  <c r="G9" i="41"/>
  <c r="G8" i="40"/>
  <c r="G7" i="40"/>
  <c r="G6" i="40"/>
  <c r="G9" i="40"/>
  <c r="G19" i="39"/>
  <c r="G18" i="39"/>
  <c r="G6" i="39"/>
  <c r="G7" i="39"/>
  <c r="G13" i="39"/>
  <c r="G12" i="39"/>
  <c r="G10" i="38"/>
  <c r="G17" i="38"/>
  <c r="G13" i="38"/>
  <c r="G14" i="38"/>
  <c r="G9" i="38"/>
  <c r="G12" i="38"/>
  <c r="G16" i="38"/>
  <c r="G6" i="38"/>
  <c r="G8" i="38"/>
  <c r="G18" i="37"/>
  <c r="G17" i="37"/>
  <c r="G9" i="37"/>
  <c r="G13" i="37"/>
  <c r="G6" i="37"/>
  <c r="G14" i="37"/>
  <c r="G7" i="37"/>
  <c r="G10" i="37"/>
  <c r="G6" i="36"/>
  <c r="G6" i="35"/>
  <c r="G20" i="35"/>
  <c r="G8" i="35"/>
  <c r="G22" i="35"/>
  <c r="G13" i="35"/>
  <c r="G16" i="35"/>
  <c r="G7" i="35"/>
  <c r="G10" i="35"/>
  <c r="G21" i="35"/>
  <c r="G23" i="35"/>
  <c r="G7" i="34"/>
  <c r="G28" i="33"/>
  <c r="G9" i="33"/>
  <c r="G11" i="33"/>
  <c r="G7" i="33"/>
  <c r="G10" i="33"/>
  <c r="G27" i="33"/>
  <c r="G24" i="32"/>
  <c r="G23" i="32"/>
  <c r="G22" i="32"/>
  <c r="G21" i="32"/>
  <c r="G10" i="32"/>
  <c r="G9" i="32"/>
  <c r="G6" i="32"/>
  <c r="G14" i="32"/>
  <c r="G12" i="32"/>
  <c r="G13" i="32"/>
  <c r="G11" i="32"/>
  <c r="G15" i="31"/>
  <c r="G6" i="31"/>
  <c r="G7" i="31"/>
  <c r="G8" i="31"/>
  <c r="G13" i="31"/>
  <c r="G14" i="31"/>
  <c r="G20" i="31"/>
  <c r="G12" i="30"/>
  <c r="G7" i="30"/>
  <c r="G6" i="30"/>
  <c r="G11" i="30"/>
  <c r="G10" i="29"/>
  <c r="G9" i="29"/>
  <c r="G8" i="29"/>
  <c r="G6" i="29"/>
  <c r="G7" i="29"/>
  <c r="G8" i="28"/>
  <c r="G10" i="28"/>
  <c r="G7" i="28"/>
  <c r="G6" i="28"/>
  <c r="G15" i="28"/>
  <c r="G13" i="28"/>
  <c r="G13" i="27"/>
  <c r="G19" i="27"/>
  <c r="G15" i="27"/>
  <c r="G31" i="27"/>
  <c r="G6" i="27"/>
  <c r="G8" i="27"/>
  <c r="G11" i="27"/>
  <c r="G14" i="27"/>
  <c r="G32" i="27"/>
  <c r="G22" i="27"/>
  <c r="G30" i="27"/>
  <c r="G9" i="27"/>
  <c r="G18" i="26"/>
  <c r="G12" i="26"/>
  <c r="G15" i="26"/>
  <c r="G7" i="26"/>
  <c r="G8" i="26"/>
  <c r="G6" i="26"/>
  <c r="G10" i="26"/>
  <c r="G11" i="26"/>
  <c r="G7" i="25"/>
  <c r="G10" i="25"/>
  <c r="G21" i="25"/>
  <c r="G20" i="25"/>
  <c r="G9" i="25"/>
  <c r="G12" i="25"/>
  <c r="G11" i="25"/>
  <c r="G6" i="25"/>
  <c r="G14" i="25"/>
  <c r="G13" i="25"/>
  <c r="G11" i="24"/>
  <c r="G13" i="24"/>
  <c r="G10" i="24"/>
  <c r="G17" i="24"/>
  <c r="G29" i="24"/>
  <c r="G30" i="24"/>
  <c r="G14" i="24"/>
  <c r="G6" i="24"/>
  <c r="G7" i="24"/>
  <c r="G31" i="24"/>
  <c r="G16" i="24"/>
  <c r="G15" i="24"/>
  <c r="G32" i="24"/>
  <c r="G12" i="23"/>
  <c r="G13" i="23"/>
  <c r="G33" i="23"/>
  <c r="G32" i="23"/>
  <c r="G8" i="23"/>
  <c r="G9" i="23"/>
  <c r="G14" i="23"/>
  <c r="G6" i="23"/>
  <c r="G6" i="22"/>
  <c r="G12" i="21"/>
  <c r="G6" i="21"/>
  <c r="G8" i="21"/>
  <c r="G16" i="21"/>
  <c r="G10" i="21"/>
  <c r="G43" i="20"/>
  <c r="G30" i="20"/>
  <c r="G17" i="20"/>
  <c r="G12" i="20"/>
  <c r="G44" i="20"/>
  <c r="G46" i="20"/>
  <c r="G42" i="20"/>
  <c r="G28" i="20"/>
  <c r="G16" i="20"/>
  <c r="G45" i="20"/>
  <c r="G14" i="20"/>
  <c r="G29" i="20"/>
  <c r="G10" i="20"/>
  <c r="G6" i="20"/>
  <c r="G7" i="20"/>
  <c r="G8" i="20"/>
  <c r="G41" i="20"/>
  <c r="G15" i="20"/>
  <c r="G40" i="20"/>
  <c r="G9" i="20"/>
  <c r="G26" i="20"/>
  <c r="G14" i="19"/>
  <c r="G9" i="19"/>
  <c r="G13" i="19"/>
  <c r="G8" i="19"/>
  <c r="G25" i="19"/>
  <c r="G11" i="19"/>
  <c r="G15" i="19"/>
  <c r="G6" i="19"/>
  <c r="G10" i="19"/>
  <c r="G14" i="18" l="1"/>
  <c r="G20" i="18"/>
  <c r="G15" i="18"/>
  <c r="G13" i="18"/>
  <c r="G18" i="18"/>
  <c r="G16" i="18"/>
  <c r="G17" i="18"/>
  <c r="G6" i="18"/>
  <c r="G7" i="18"/>
  <c r="G19" i="18"/>
  <c r="G12" i="18"/>
  <c r="G9" i="18"/>
  <c r="G22" i="18"/>
  <c r="G41" i="17"/>
  <c r="G15" i="17"/>
  <c r="G6" i="17"/>
  <c r="G13" i="17"/>
  <c r="G9" i="17"/>
  <c r="G10" i="17"/>
  <c r="G27" i="17"/>
  <c r="G40" i="17"/>
  <c r="G18" i="17"/>
  <c r="G17" i="17"/>
  <c r="G19" i="17"/>
  <c r="G14" i="17"/>
  <c r="G16" i="17"/>
  <c r="G26" i="17"/>
  <c r="G11" i="17"/>
  <c r="G14" i="16"/>
  <c r="G18" i="16"/>
  <c r="G7" i="16"/>
  <c r="G17" i="16"/>
  <c r="G13" i="16"/>
  <c r="G6" i="16"/>
  <c r="G8" i="16"/>
  <c r="G9" i="16"/>
  <c r="G10" i="15"/>
  <c r="G6" i="15"/>
  <c r="G13" i="15"/>
  <c r="G8" i="15"/>
  <c r="G16" i="15"/>
  <c r="G14" i="15"/>
  <c r="G9" i="14"/>
  <c r="G10" i="14"/>
  <c r="G14" i="14"/>
  <c r="G7" i="14"/>
  <c r="G24" i="14"/>
  <c r="G13" i="14"/>
  <c r="G12" i="14"/>
  <c r="G6" i="14"/>
  <c r="G8" i="14"/>
  <c r="G9" i="13"/>
  <c r="G8" i="13"/>
  <c r="G6" i="13"/>
  <c r="G6" i="12"/>
  <c r="G8" i="11"/>
  <c r="G7" i="11"/>
  <c r="G15" i="11"/>
  <c r="G14" i="11"/>
  <c r="G6" i="11"/>
  <c r="G9" i="10"/>
  <c r="G6" i="10"/>
  <c r="G29" i="9"/>
  <c r="G28" i="9"/>
  <c r="G30" i="9"/>
  <c r="G16" i="9"/>
  <c r="G23" i="9"/>
  <c r="G22" i="9"/>
  <c r="G14" i="9"/>
  <c r="G8" i="9"/>
  <c r="G11" i="9"/>
  <c r="G13" i="9"/>
  <c r="G6" i="9"/>
  <c r="G10" i="9"/>
  <c r="G9" i="9"/>
  <c r="G21" i="9"/>
  <c r="G12" i="9"/>
  <c r="G7" i="9"/>
  <c r="G15" i="9"/>
  <c r="G6" i="8"/>
  <c r="G13" i="8"/>
  <c r="G33" i="8"/>
  <c r="G32" i="8"/>
  <c r="G30" i="8"/>
  <c r="G11" i="8"/>
  <c r="G12" i="8"/>
  <c r="G31" i="8"/>
  <c r="G8" i="8"/>
  <c r="G7" i="8"/>
  <c r="G10" i="8"/>
  <c r="G19" i="8"/>
  <c r="G9" i="8"/>
  <c r="G15" i="7"/>
  <c r="G46" i="7"/>
  <c r="G45" i="7"/>
  <c r="G38" i="7"/>
  <c r="G8" i="7"/>
  <c r="G31" i="7"/>
  <c r="G9" i="7"/>
  <c r="G44" i="7"/>
  <c r="G42" i="7"/>
  <c r="G7" i="7"/>
  <c r="G13" i="7"/>
  <c r="G23" i="7"/>
  <c r="G43" i="7"/>
  <c r="G6" i="7"/>
  <c r="G17" i="7"/>
  <c r="G41" i="7"/>
  <c r="G12" i="7"/>
  <c r="G21" i="7"/>
  <c r="G16" i="7"/>
  <c r="G40" i="7"/>
  <c r="G18" i="7"/>
  <c r="G19" i="7"/>
  <c r="G26" i="7"/>
  <c r="G30" i="7"/>
  <c r="G39" i="7"/>
  <c r="G14" i="7"/>
  <c r="G10" i="7"/>
  <c r="G17" i="6"/>
  <c r="G18" i="6"/>
  <c r="G22" i="6"/>
  <c r="G21" i="6"/>
  <c r="G9" i="6"/>
  <c r="G15" i="6"/>
  <c r="G12" i="6"/>
  <c r="G10" i="6"/>
  <c r="G6" i="6"/>
  <c r="G36" i="6"/>
  <c r="G23" i="6"/>
  <c r="G16" i="6"/>
  <c r="G24" i="6"/>
  <c r="G14" i="6"/>
  <c r="G10" i="5"/>
  <c r="G7" i="5"/>
  <c r="G8" i="5"/>
  <c r="G9" i="5"/>
  <c r="G6" i="4"/>
  <c r="G7" i="3"/>
  <c r="G6" i="3"/>
  <c r="G6" i="2"/>
  <c r="G11" i="2"/>
  <c r="G31" i="2"/>
  <c r="G14" i="2"/>
  <c r="G16" i="2"/>
  <c r="G21" i="2"/>
  <c r="G9" i="2"/>
  <c r="G20" i="2"/>
  <c r="G15" i="2"/>
  <c r="G25" i="2"/>
  <c r="G26" i="2"/>
  <c r="G19" i="2"/>
  <c r="G32" i="2"/>
  <c r="G18" i="2"/>
  <c r="G10" i="2"/>
  <c r="G33" i="2"/>
  <c r="G8" i="2"/>
  <c r="G12" i="2"/>
  <c r="G17" i="2"/>
  <c r="G11" i="1"/>
  <c r="G7" i="1"/>
  <c r="G8" i="1"/>
  <c r="G6" i="1"/>
  <c r="G9" i="1"/>
  <c r="G16" i="1"/>
  <c r="G15" i="1"/>
  <c r="G10" i="1"/>
</calcChain>
</file>

<file path=xl/sharedStrings.xml><?xml version="1.0" encoding="utf-8"?>
<sst xmlns="http://schemas.openxmlformats.org/spreadsheetml/2006/main" count="2191" uniqueCount="796">
  <si>
    <t>PARTICIPANTE</t>
  </si>
  <si>
    <t>CLUB</t>
  </si>
  <si>
    <t>LIGA PROMOCIÓN INFANTIL Y ADULTO DE POOMSAES</t>
  </si>
  <si>
    <t>1ª JORNADA</t>
  </si>
  <si>
    <t>IZAN, CAROLINA, DIEGO</t>
  </si>
  <si>
    <t>TKNORTE</t>
  </si>
  <si>
    <t>DO-HO</t>
  </si>
  <si>
    <t>TAEKOR</t>
  </si>
  <si>
    <t>ENERITZ, DAVID, DIEGO</t>
  </si>
  <si>
    <t>CHAMPIONDO</t>
  </si>
  <si>
    <t>SOFIA, VEGA, EVA</t>
  </si>
  <si>
    <t>AINOA, IZAN,ANA</t>
  </si>
  <si>
    <t>GETAFE</t>
  </si>
  <si>
    <t>CAROLINA, DIEGO</t>
  </si>
  <si>
    <t>LUCAS, CORAL</t>
  </si>
  <si>
    <t>EL VALLE</t>
  </si>
  <si>
    <t>HECTOR, OLIVER</t>
  </si>
  <si>
    <t>ADRIANA, RAUL</t>
  </si>
  <si>
    <t>ADRIAN, ENZO</t>
  </si>
  <si>
    <t>OLIVER, IZAN</t>
  </si>
  <si>
    <t>DANIELA, CRISTINA</t>
  </si>
  <si>
    <t>BRUNO, MATEO</t>
  </si>
  <si>
    <t>MARIO, ITZIAR</t>
  </si>
  <si>
    <t>EVA, DIEGO</t>
  </si>
  <si>
    <t>ALEJANDRA, GUILLERMO</t>
  </si>
  <si>
    <t>ALEJANDRO, LUIS</t>
  </si>
  <si>
    <t>NOVA ALCOBENDAS</t>
  </si>
  <si>
    <t>DIEGO, ADRIANA</t>
  </si>
  <si>
    <t>DARIO, PAOLA</t>
  </si>
  <si>
    <t>DAEBAK</t>
  </si>
  <si>
    <t>VEGA, SOFIA</t>
  </si>
  <si>
    <t>ENERITZ, DAVID</t>
  </si>
  <si>
    <t>ADRIAN, HUGO</t>
  </si>
  <si>
    <t>CARLA, LEONARDO</t>
  </si>
  <si>
    <t>LEONARDO DANIEL PALTA GROSSU</t>
  </si>
  <si>
    <t>HUGO SANCHEZ MARÍA</t>
  </si>
  <si>
    <t>SIMÓN CORSINI GARCÍA</t>
  </si>
  <si>
    <t>ADRIÁN FAJARDO HERNÁNDEZ</t>
  </si>
  <si>
    <t>CAROLINA BARRIOCANAL ACEBRÓN</t>
  </si>
  <si>
    <t>AINOHA ARCE ALCAZAR</t>
  </si>
  <si>
    <t>ANA RUBIO SERRANO</t>
  </si>
  <si>
    <t>AITANA HERRERO PERALO</t>
  </si>
  <si>
    <t>ADRIADNA PÉREZ DE ABIA</t>
  </si>
  <si>
    <t>DOH-O</t>
  </si>
  <si>
    <t>CARLA MATÉ GONZÁLEZ</t>
  </si>
  <si>
    <t>ADRIANA PORRAS PADOVANI</t>
  </si>
  <si>
    <t>ALEJANDRA SEBASTIÁN MOLINA</t>
  </si>
  <si>
    <t>CORAL MEZQUITA BLAZQUEZ</t>
  </si>
  <si>
    <t>ITZIAR RODRÍGUEZ ARROYO</t>
  </si>
  <si>
    <t>BLANCA LABRADOR TAMES</t>
  </si>
  <si>
    <t>CHAMARTIN</t>
  </si>
  <si>
    <t>ALBA JIMENEZ REDONDO</t>
  </si>
  <si>
    <t>LUCIA BERNARDOS DEL BARRIO</t>
  </si>
  <si>
    <t>MU DUK KWAN</t>
  </si>
  <si>
    <t>NOA FRANCISCO SANTIAGO</t>
  </si>
  <si>
    <t>OLIVER ARIAS GARCÍA</t>
  </si>
  <si>
    <t>EZO LUQUE MARQUEZ</t>
  </si>
  <si>
    <t>LEE</t>
  </si>
  <si>
    <t>BRUNO NICOLAS GUTIERREZ</t>
  </si>
  <si>
    <t>ALEJANDRO ANDRÉS SOLA</t>
  </si>
  <si>
    <t>IZAN BARRIOS PASTOR</t>
  </si>
  <si>
    <t>ÁLVARO PÉREZ RISCO</t>
  </si>
  <si>
    <t>IZAN DUEÑAS NAVARRO</t>
  </si>
  <si>
    <t>OLIVER MARTÍNEZ JIMÉNEZ</t>
  </si>
  <si>
    <t>LUCAS MERINO CASTANEDO</t>
  </si>
  <si>
    <t>GUILLERMO BULDÓN MEDINA</t>
  </si>
  <si>
    <t>MARIO DE CASTRO CARMONA</t>
  </si>
  <si>
    <t>MALDONADO TEAM</t>
  </si>
  <si>
    <t>DANIEL BERROCAL DIANEZ</t>
  </si>
  <si>
    <t>COLMENAR</t>
  </si>
  <si>
    <t>ROBERTO MESA AVIAL</t>
  </si>
  <si>
    <t>ALEIX PÉREZ ÁLVAREZ</t>
  </si>
  <si>
    <t>VILLANUEVA DEL PARDILLO</t>
  </si>
  <si>
    <t>DARIO ARROYO IBÁÑEZ</t>
  </si>
  <si>
    <t>ALEXIS ÁLVAREZ REQUILLO</t>
  </si>
  <si>
    <t>ADRIÁN HERNÁNDEZ ASENSIO</t>
  </si>
  <si>
    <t>PABLO ORTIZ RODRÍQUEZ</t>
  </si>
  <si>
    <t>YAGO HERRAEZ PÉREZ</t>
  </si>
  <si>
    <t>IKER ARIAS REIMUNDEZ</t>
  </si>
  <si>
    <t>ENZO ARIZA PRADA</t>
  </si>
  <si>
    <t>RAÚL PERANDONES GARCÍA</t>
  </si>
  <si>
    <t>MARTÍN ARELLANO GUERRA</t>
  </si>
  <si>
    <t>AZOFRA</t>
  </si>
  <si>
    <t>LUIS BANEGAS MARTÍN ROMERO</t>
  </si>
  <si>
    <t>MARTÍN HURAY GUTIÉRREZ</t>
  </si>
  <si>
    <t>DIEGO COLDEIRA SOLOCHEK</t>
  </si>
  <si>
    <t>DAVID SINCLAIR LANDÍVAR</t>
  </si>
  <si>
    <t>AINUR RIVAS DE LA CRUZ</t>
  </si>
  <si>
    <t>AARÓN CAVERO ROLÓN</t>
  </si>
  <si>
    <t>DIEGO SAN ROMÁN SOSA</t>
  </si>
  <si>
    <t>KEVIN COBOS ALBARENGA</t>
  </si>
  <si>
    <t>VILLALBA</t>
  </si>
  <si>
    <t>GORKA MARTÍNEZ DE ILARDUYA</t>
  </si>
  <si>
    <t>ENZO CADIERNO POLO</t>
  </si>
  <si>
    <t>GABRIEL BARREDO MORALES</t>
  </si>
  <si>
    <t>COLMENAR VIEJO</t>
  </si>
  <si>
    <t>LEYRE LÓPEZ MORENO</t>
  </si>
  <si>
    <t>ADRIANA RANGEL CHIMENO</t>
  </si>
  <si>
    <t>PAOLA MURILLO GUTIÉRREZ</t>
  </si>
  <si>
    <t>ALICIA ZADOROJNAIA</t>
  </si>
  <si>
    <t>DANIELA LÓPEZ HERNÁNDEZ</t>
  </si>
  <si>
    <t>ENERITZ ALFARO LAHERRAN</t>
  </si>
  <si>
    <t>SOFÍA ANDRADE DE BANGO</t>
  </si>
  <si>
    <t>VEGA ARIAS CASTEJÓN</t>
  </si>
  <si>
    <t>EVA JUSDADO PÉREZ</t>
  </si>
  <si>
    <t>GABRIELA CRIADO LÓPEZ</t>
  </si>
  <si>
    <t>ALEJANDRA ALONSO ARANA</t>
  </si>
  <si>
    <t>ISABEL ALONSO LÓPEZ</t>
  </si>
  <si>
    <t>LUCÍIA ROCHA SUAREZ</t>
  </si>
  <si>
    <t>GLORIA FERNÁNDEZ MÉNDEZ</t>
  </si>
  <si>
    <t>ARIADNA ALONSO SERRANO</t>
  </si>
  <si>
    <t>FRANCISCO GONZÁLEZ GARCÍA</t>
  </si>
  <si>
    <t>RAÚL GONZÁLEZ LLORENTE</t>
  </si>
  <si>
    <t>JUDITH ALGARATE NOGALES</t>
  </si>
  <si>
    <t>ALBA DOMINGO PASCUAL</t>
  </si>
  <si>
    <t>NOELIA PUERTA PÉREZ</t>
  </si>
  <si>
    <t>ENARA ALFARO LAHERRAN</t>
  </si>
  <si>
    <t>CRISTINA GONZÁLEZ PERDICES</t>
  </si>
  <si>
    <t>RAÚL GONZÁLEZ GALLARDO</t>
  </si>
  <si>
    <t>CARLA, ÁNGELA, DIEGO</t>
  </si>
  <si>
    <t>COSLADA</t>
  </si>
  <si>
    <t>DANA, RAQUEL, VERÓNICA</t>
  </si>
  <si>
    <t>MARCOS, MIA</t>
  </si>
  <si>
    <t>ALBA, HUGO</t>
  </si>
  <si>
    <t>SERGIO, ENYA</t>
  </si>
  <si>
    <t>ANGELA, CARLA</t>
  </si>
  <si>
    <t>JORGE, ANABEL</t>
  </si>
  <si>
    <t>JUDITH, RAÚL</t>
  </si>
  <si>
    <t>ANABEL MUÑOZ CONTRERAWS</t>
  </si>
  <si>
    <t>CARLA ELENA PREDOIU</t>
  </si>
  <si>
    <t>ENYA HERREROS SÁNCHEZ</t>
  </si>
  <si>
    <t>ARINIA AGUILAR GUERRERO</t>
  </si>
  <si>
    <t>VALERIA SAN PABLO GÓMEZ</t>
  </si>
  <si>
    <t>JORGE EMANUEL GOMEZ GOMEZ</t>
  </si>
  <si>
    <t>MARCOS GARCÍA TRENADO</t>
  </si>
  <si>
    <t>DIEGO BERGA PÉREZ</t>
  </si>
  <si>
    <t>SERGIO FARAH CRAUS</t>
  </si>
  <si>
    <t>LUIS DARÍO VALCARCEL DE LOS SANTOS</t>
  </si>
  <si>
    <t>HUGO MEJIAS BORRAZ</t>
  </si>
  <si>
    <t>THIAGO MURILLO GUTIÉRREZ</t>
  </si>
  <si>
    <t>SANTIAGO MENDIETA CALDERÓN</t>
  </si>
  <si>
    <t>KUMGANG</t>
  </si>
  <si>
    <t>NICOLAS CASTILLO PANIAGUA</t>
  </si>
  <si>
    <t>AARON RIOS CONTRERAS</t>
  </si>
  <si>
    <t>ERIK ESTEBAN DONAIRE</t>
  </si>
  <si>
    <t>ALEJANDRO PÉREZ DE ABIA</t>
  </si>
  <si>
    <t>ALEJANDRO RODRIGUEZ SUAREZ</t>
  </si>
  <si>
    <t>ÁLVARO LEYVA SAMOILA</t>
  </si>
  <si>
    <t>RAFAEL ARCOS GARCIA</t>
  </si>
  <si>
    <t>MIGUEL MESA AVIAL</t>
  </si>
  <si>
    <t>DARÍO VILLA SALAZAR</t>
  </si>
  <si>
    <t>ERIC BENITO GACRÍA ABADILLO</t>
  </si>
  <si>
    <t>MATEO FELIPE ARANDA</t>
  </si>
  <si>
    <t>DIEGO BULDÓN MEDINA</t>
  </si>
  <si>
    <t>ÁLVARO BERROCAL DIANEZ</t>
  </si>
  <si>
    <t>DAVID GÓMEZ PORRO GARCÍA</t>
  </si>
  <si>
    <t>SAMUEL RECIO PUERTA</t>
  </si>
  <si>
    <t>PAULA BENAQUE JIMENO</t>
  </si>
  <si>
    <t>ADA MARTÍN DÍAZ</t>
  </si>
  <si>
    <t>NORMA RODRIGUEZ MORA</t>
  </si>
  <si>
    <t>TRIANA GONZALEZ GARCIA</t>
  </si>
  <si>
    <t>ALBA CATALÁN GONZÁLEZ</t>
  </si>
  <si>
    <t>ELENA SOFÍA PALTA GROSSU</t>
  </si>
  <si>
    <t>VICTORIA CALERO GÁLVEZ</t>
  </si>
  <si>
    <t>RAQUEL RIVAS JIMENO</t>
  </si>
  <si>
    <t>MIA RICHELLE POLAR SOSA</t>
  </si>
  <si>
    <t>DANA MICHELLE SIERRA JURADO</t>
  </si>
  <si>
    <t>VERÓNICA POVEDA FERNÁNDEZ</t>
  </si>
  <si>
    <t>ÁNGELA CÁMARA PALMA</t>
  </si>
  <si>
    <t>DANIELA BURGOS LÓPEZ</t>
  </si>
  <si>
    <t>ALEJANDRA SÁNCHEZ DIOS</t>
  </si>
  <si>
    <t>KIAP-TI</t>
  </si>
  <si>
    <t>PREINFANTIL FEMENINO</t>
  </si>
  <si>
    <t>INFANTIL A1 FEMENINO</t>
  </si>
  <si>
    <t>INFANTIL A1 MASCULINO</t>
  </si>
  <si>
    <t>INFANTIL PAREJAS A1</t>
  </si>
  <si>
    <t>INFANTIL TRIO A1</t>
  </si>
  <si>
    <t>INFANTIL A2 MASCULINO</t>
  </si>
  <si>
    <t>INFANTIL A2 FEMENINO</t>
  </si>
  <si>
    <t>INFANTIL A3 MASCULINO</t>
  </si>
  <si>
    <t>INFANTIL B1 FEMENINO</t>
  </si>
  <si>
    <t>INFANTIL B1 MASCULINO</t>
  </si>
  <si>
    <t>INFANTIL PAREJAS B1</t>
  </si>
  <si>
    <t>INFANTIL TRIO B1</t>
  </si>
  <si>
    <t>INFANTIL B2 MASCULINO</t>
  </si>
  <si>
    <t>INFANTIL B2 FEMENINO</t>
  </si>
  <si>
    <t>INFANTIL PAREJAS B2</t>
  </si>
  <si>
    <t>INFANTIL TRIOS B2</t>
  </si>
  <si>
    <t>INFANTIL B3 MASCULINO</t>
  </si>
  <si>
    <t>DAVID PALMER PADÍN</t>
  </si>
  <si>
    <t>IZAN HERNAN SASTRE</t>
  </si>
  <si>
    <t>SERGIO BELTRÁN FERNÁNDEZ</t>
  </si>
  <si>
    <t>MATEO PARDAL SACRISTÁN</t>
  </si>
  <si>
    <t>NICOLÁS MONTOYO VILLAVERDE</t>
  </si>
  <si>
    <t>JAVIER HINJOS JIMÉNEZ</t>
  </si>
  <si>
    <t>JADEN CONKLE GAVILÁN</t>
  </si>
  <si>
    <t>MARCOS JUAREZ CAÑADILLA</t>
  </si>
  <si>
    <t>DANIEL BANEGAS MARTÍN MORENO</t>
  </si>
  <si>
    <t>INFANTIL C1 MASCULINO</t>
  </si>
  <si>
    <t>MALAAK EL MORHRANI TOUZANI</t>
  </si>
  <si>
    <t>IRIA DE FRANCISCO HERRERO</t>
  </si>
  <si>
    <t>ALEJANDRA DÍAZ JIMÉNEZ</t>
  </si>
  <si>
    <t>LUZ MARÍA ÚBEDA PORTUGUES RODRÍGUEZ</t>
  </si>
  <si>
    <t>SOFÍA LUENGO HERRUZO</t>
  </si>
  <si>
    <t>MARTINA ANDRADE DE BANGO</t>
  </si>
  <si>
    <t>NAIARA IDIGORAS MILLÁN</t>
  </si>
  <si>
    <t>NURIA SAN ROMÁN SOSA</t>
  </si>
  <si>
    <t>DANIELA ANTA GONZÁLEZ</t>
  </si>
  <si>
    <t>ALEJANDRA MIRANDA ROJO</t>
  </si>
  <si>
    <t>ANDREA CRIADO LÓPEZ</t>
  </si>
  <si>
    <t>NORA ÁLVAREZ LÓPEZ</t>
  </si>
  <si>
    <t>CRISTINA SERENO CRUZ</t>
  </si>
  <si>
    <t>SILVIA CARNEVALE SÁNCHEZ</t>
  </si>
  <si>
    <t>VEGA CARNERO MORCILLO</t>
  </si>
  <si>
    <t>CARMEN LIMERES MÉNDEZ</t>
  </si>
  <si>
    <t>CARLOTA RODRÍGUEZ MORA</t>
  </si>
  <si>
    <t>PAULA MARTÍN GARCÍA</t>
  </si>
  <si>
    <t>ANA MIDDLETON BAGGETTO</t>
  </si>
  <si>
    <t>SARA VELÁZQUEZ GHEORGHE</t>
  </si>
  <si>
    <t>INFANTIL C1 FEMENINO</t>
  </si>
  <si>
    <t>IKER MARTÍNEZ PRIETO</t>
  </si>
  <si>
    <t>FERNANDO LLERA CAPOTE</t>
  </si>
  <si>
    <t>UNAI CORRALES HERMOSO</t>
  </si>
  <si>
    <t>ALEJANDRO ARIZA PRADA</t>
  </si>
  <si>
    <t>INFANTIL C3 MASCULINO</t>
  </si>
  <si>
    <t>ASIER MURILLO SARRO</t>
  </si>
  <si>
    <t>INFANTIL C4 MASCULINO</t>
  </si>
  <si>
    <t>MARCOS BARRIOCANAL ACEBRÓN</t>
  </si>
  <si>
    <t>RODRIGO BULDÓN MEDINA</t>
  </si>
  <si>
    <t>JESÚS ANTONIO FUENTES COTICI</t>
  </si>
  <si>
    <t>DIEGO CRISTIANO ANGLITA</t>
  </si>
  <si>
    <t>SAMUEL VELÁZQUEZ GHEORGHE</t>
  </si>
  <si>
    <t>ROBERTO NOGUEROL VITAN</t>
  </si>
  <si>
    <t>HASIER DE PABLO ALCALDE</t>
  </si>
  <si>
    <t>INFANTIL C2 MASCULINO</t>
  </si>
  <si>
    <t>NADIA DURÁN VADILLO</t>
  </si>
  <si>
    <t>RENATA SOFÍA ROJAS TAMAYO</t>
  </si>
  <si>
    <t>MÓNICA SÁNCHEZ PALACIOS</t>
  </si>
  <si>
    <t>GRACIA GONZÁLEZ CONEJERO</t>
  </si>
  <si>
    <t>AINHOA CALONGE RODRÍGUEZ</t>
  </si>
  <si>
    <t>LAURA ÁLVAREZ VILLAREJO</t>
  </si>
  <si>
    <t>JULIA GÓMEZ PORRO GARCÍA</t>
  </si>
  <si>
    <t>ANDREA MÁRQUEZ MURILLO</t>
  </si>
  <si>
    <t>MARÍA RAMOS TORRES</t>
  </si>
  <si>
    <t>JIMENA MARTÍNEZ DELGADO</t>
  </si>
  <si>
    <t>VALERIA ALCAZAR LASO</t>
  </si>
  <si>
    <t>SOFÍA LÓPEZ VIGO</t>
  </si>
  <si>
    <t>ANDREA GONZÁLEZ LIAÑO</t>
  </si>
  <si>
    <t>INFANTIL C2 FEMENINO</t>
  </si>
  <si>
    <t>CARLA SEBASTIÁN LÓPEZ</t>
  </si>
  <si>
    <t>ELISA FERNÁNDEZ DELGADO</t>
  </si>
  <si>
    <t>SARA MARTÍN-LARA HERREROS</t>
  </si>
  <si>
    <t>ALMUDENA CARO ROTUELA</t>
  </si>
  <si>
    <t>CRISTINA GUIJARRO FERNÁNDEZ</t>
  </si>
  <si>
    <t>AITANA PACHECO MORENO</t>
  </si>
  <si>
    <t>CARLOTA DE HARO GONZÁLEZ</t>
  </si>
  <si>
    <t>DANIELA DE HARO GONZÁLEZ</t>
  </si>
  <si>
    <t>Mª DEL PILAR RAMOS PARRA</t>
  </si>
  <si>
    <t>MARÍA NEVADO RUBIO</t>
  </si>
  <si>
    <t>INFANTIL C3 FEMENINO</t>
  </si>
  <si>
    <t>CARLOTA DANIELA</t>
  </si>
  <si>
    <t>ELISA, LAURA</t>
  </si>
  <si>
    <t>SARA, AINHOA</t>
  </si>
  <si>
    <t>AITANA, FERNANDO</t>
  </si>
  <si>
    <t>UNAI, MARÍA</t>
  </si>
  <si>
    <t>LUCAS, RODRIGO</t>
  </si>
  <si>
    <t>Mª PILAR, ALEJANDRO</t>
  </si>
  <si>
    <t>INFANTIL PAREJAS C2</t>
  </si>
  <si>
    <t>JIMENA, CARLA</t>
  </si>
  <si>
    <t>SARA, SAMUEL</t>
  </si>
  <si>
    <t>ANA, JADEN</t>
  </si>
  <si>
    <t>DIEGO, MARÍA</t>
  </si>
  <si>
    <t>SERGIO, MATEO</t>
  </si>
  <si>
    <t>DANIEL, MARCOS</t>
  </si>
  <si>
    <t>JULIA, ALEJANDRA</t>
  </si>
  <si>
    <t>NURIA, SOFÍA</t>
  </si>
  <si>
    <t>CARMEN, VEGA</t>
  </si>
  <si>
    <t>IZAN, DAVID</t>
  </si>
  <si>
    <t>INFANTIL PAREJAS C1</t>
  </si>
  <si>
    <t>JIMENA, MARÍA, CARLA</t>
  </si>
  <si>
    <t>DANIELA, SOFÍA, NURIA</t>
  </si>
  <si>
    <t>GRACIA,MÓNICA,RENATA</t>
  </si>
  <si>
    <t>MARCOS, JULIA, ALEJANDRA</t>
  </si>
  <si>
    <t>INFANTIL TRIO C1</t>
  </si>
  <si>
    <t>AITANA,ELISA, FERNANDO</t>
  </si>
  <si>
    <t>SARA, AINHOA, LAURA</t>
  </si>
  <si>
    <t>INFANTIL TRIO C2</t>
  </si>
  <si>
    <t>HUGO GIARD PESQUERO</t>
  </si>
  <si>
    <t>NICOLÁS FOLGADO CASTAÑO</t>
  </si>
  <si>
    <t>JOHN ALEJANDRO DAZA RUIZ</t>
  </si>
  <si>
    <t>SEBASTIÁN ALEJANDRO RUIZ GUILLEN</t>
  </si>
  <si>
    <t>INAFNTIL D1 MASCULINO</t>
  </si>
  <si>
    <t>MARCOS MEJDOUBI POLO</t>
  </si>
  <si>
    <t>DANIEL LAGUNA JIMENA</t>
  </si>
  <si>
    <t>JULIO CUADRILLERO GARCÍA</t>
  </si>
  <si>
    <t>YANIS ANDREI BORDEANU</t>
  </si>
  <si>
    <t>ALBERTO OCHANDO ROSARIO</t>
  </si>
  <si>
    <t>DENIS ALEXANDRU TANDURA MURGEANU</t>
  </si>
  <si>
    <t>DIEGO BERNAL SAMAYOA</t>
  </si>
  <si>
    <t>INFANTIL D2 MASCULINO</t>
  </si>
  <si>
    <t>RAQUEL LAGO MARINA</t>
  </si>
  <si>
    <t>MARTINA ROLLAN AINOZA</t>
  </si>
  <si>
    <t>ÁNGELA ROLLAN AINOZA</t>
  </si>
  <si>
    <t>EMMA BERNALDO DE QUIRÓS ROMERO</t>
  </si>
  <si>
    <t>TALMA MADRID</t>
  </si>
  <si>
    <t>SARA COLMENAREJO SANTALLA</t>
  </si>
  <si>
    <t>ALBA RODRÍGUEZ LASUNCIÓN</t>
  </si>
  <si>
    <t>NOELIA HEREDERO GARCÍA</t>
  </si>
  <si>
    <t>ISABEL ÁLVAREZ DURÁN</t>
  </si>
  <si>
    <t>Mª JOSÉ RAMIREZ CASTAÑO</t>
  </si>
  <si>
    <t>STEFANY ALBURQUERQUE GOMES</t>
  </si>
  <si>
    <t>ALCALÁ ARENA</t>
  </si>
  <si>
    <t>INFANTIL D1 FEMENINO</t>
  </si>
  <si>
    <t>CRISTINA HERNÁNDEZDRAGOMIR</t>
  </si>
  <si>
    <t>LUCIA ROSIGNOLI ÁLVAREZ</t>
  </si>
  <si>
    <t>ADRIANA BOLLO GORDO</t>
  </si>
  <si>
    <t>SARA ALDAVERO TORIBIO</t>
  </si>
  <si>
    <t>CHAMARTÍN</t>
  </si>
  <si>
    <t>LUCÍA CORRAL ÁLVAREZ</t>
  </si>
  <si>
    <t>CLAUDIA MONTOYO VILLAVERDE</t>
  </si>
  <si>
    <t>INFANTIL D2 FEMENINO</t>
  </si>
  <si>
    <t>JORGE CARO RAYUELA</t>
  </si>
  <si>
    <t>INFANTIL D4 MASCULINO</t>
  </si>
  <si>
    <t>ALEJANDRO GUITIAN DE MARCOS</t>
  </si>
  <si>
    <t>EDUARDO SAN ROMÁN GARCÍA</t>
  </si>
  <si>
    <t>DIEGO CABEZUDO RAMOS</t>
  </si>
  <si>
    <t>ALEJANDRO MATEUS GALLEGO</t>
  </si>
  <si>
    <t>HUGO LÓPEZ HERNÁNDEZ</t>
  </si>
  <si>
    <t>DAVID MARTINEZ-ABARCA CERCOA</t>
  </si>
  <si>
    <t>VICENTE VILLALBA MARTÍN</t>
  </si>
  <si>
    <t>JORGE MARTÍNEZ OLTRA</t>
  </si>
  <si>
    <t>LUCAS MARIO MERINO JOIAN</t>
  </si>
  <si>
    <t>AARON GÓMEZ SUAREZ</t>
  </si>
  <si>
    <t>MARIO CAMACHO RECUERO</t>
  </si>
  <si>
    <t>INFANTIL D3 MASCULINO</t>
  </si>
  <si>
    <t>SANDRA PUERTA PÉREZ</t>
  </si>
  <si>
    <t>INFANTIL D4 FEMENINO</t>
  </si>
  <si>
    <t>ALBA RODRÍGUEZ VICARIO</t>
  </si>
  <si>
    <t>ALODIA LOSADA ALEJOS</t>
  </si>
  <si>
    <t>CLAUDIA ZAFRA CUBILLO</t>
  </si>
  <si>
    <t>IRACHE MOLINA TATO</t>
  </si>
  <si>
    <t>MYRIAM ELENA HURTADO</t>
  </si>
  <si>
    <t>AROA FRANCISCO SANTIAGO</t>
  </si>
  <si>
    <t>ITZIAR DURÁN VADILLO</t>
  </si>
  <si>
    <t>LUCIA DE LA PAZ MUÑOZ</t>
  </si>
  <si>
    <t>INFANTIL D3 FEMENINO</t>
  </si>
  <si>
    <t>SARA, DENIS</t>
  </si>
  <si>
    <t>YANIS, ALBERTO</t>
  </si>
  <si>
    <t>CRISTINA, MARCOS</t>
  </si>
  <si>
    <t>HUGO, ISABEL</t>
  </si>
  <si>
    <t>MARTINA, LUCÍA</t>
  </si>
  <si>
    <t>JOHN, ANDREA</t>
  </si>
  <si>
    <t>DANIEL, NICOLÁS</t>
  </si>
  <si>
    <t>LUCÍA, NOELIA</t>
  </si>
  <si>
    <t>RAQUEL, ÁNGELA</t>
  </si>
  <si>
    <t>INFANTIL PAREJA D1</t>
  </si>
  <si>
    <t>ADRIANA, DIEGO</t>
  </si>
  <si>
    <t>MARIO, IRACHE</t>
  </si>
  <si>
    <t>ANDRÉS, LUCÍA</t>
  </si>
  <si>
    <t>LUCAS, AARON</t>
  </si>
  <si>
    <t>INFANTIL PAREJAS D2</t>
  </si>
  <si>
    <t>RAQUEL, MARTINA, ÁNGELA</t>
  </si>
  <si>
    <t>SEBASTIÁN, ANDREA, JOHN</t>
  </si>
  <si>
    <t>INFANTIL TRIO D1</t>
  </si>
  <si>
    <t>INFANTIL TRIO D2</t>
  </si>
  <si>
    <t>ALEJANDRO, CLAUDIA, MYRIAM</t>
  </si>
  <si>
    <t>HUGO, ALEJANDRO, DIEGO</t>
  </si>
  <si>
    <t>HUGO CANTOS HURTADO</t>
  </si>
  <si>
    <t>LUCAS SOPEÑA HEREZA</t>
  </si>
  <si>
    <t>PEDRO MANUEL PAGADOR JURADO</t>
  </si>
  <si>
    <t>ORLANDO SALAZAR GONZALEZ</t>
  </si>
  <si>
    <t>ALEJANDRO DIAZ GIL</t>
  </si>
  <si>
    <t>PEDRO OLALQUIAGA CASARES</t>
  </si>
  <si>
    <t>JOSE ANTONIO FERNANDEZ LAKATOS</t>
  </si>
  <si>
    <t>ZEUS JAIME ARRONTE</t>
  </si>
  <si>
    <t>ABRAHAM VILLAVERDE GONZALEZ</t>
  </si>
  <si>
    <t>MIGUEL SORIANO MENDEZ</t>
  </si>
  <si>
    <t>ALEJANDRO RODRIGUEZ MARTIN</t>
  </si>
  <si>
    <t>SAUL LOZANO LEAL</t>
  </si>
  <si>
    <t>ADAM LOPEZ KOVALCHUK</t>
  </si>
  <si>
    <t>CARLOS JÁUDENES MORENO</t>
  </si>
  <si>
    <t>ALEJANDRO PEREZ PASTOR</t>
  </si>
  <si>
    <t>2ª JORNADA</t>
  </si>
  <si>
    <t>NOA DIAZ TRIVIÑO</t>
  </si>
  <si>
    <t>VILLAFRANCA DEL CASTILLO</t>
  </si>
  <si>
    <t>ANABEL MUÑOZ CONTRERAS</t>
  </si>
  <si>
    <t>SALOMÉ DE CASTRO LÓPEZ</t>
  </si>
  <si>
    <t>BRUNA DE CASTRO LÓPEZ</t>
  </si>
  <si>
    <t>MARTINA SEQUEIRA DAVANT</t>
  </si>
  <si>
    <t>IRIA BARRIOPEDRO SANTAMARIA</t>
  </si>
  <si>
    <t>ELISE SEGUEL ILARDE</t>
  </si>
  <si>
    <t>FEIJOO</t>
  </si>
  <si>
    <t>AMAYA OLALQUIAGA CASARES</t>
  </si>
  <si>
    <t>EVA HERNANDEZ GALEOTE</t>
  </si>
  <si>
    <t>ALVARO HERNANDEZ GARCIA</t>
  </si>
  <si>
    <t>SKYLER MAE MONAGO KAMENECKA</t>
  </si>
  <si>
    <t>ARES MARTINEZ DOMINGUEZ</t>
  </si>
  <si>
    <t>CAY SAN</t>
  </si>
  <si>
    <t>ARIADNA HERRERA HERREROS</t>
  </si>
  <si>
    <t>DANIELA VILLANUEVA CUCUIAN</t>
  </si>
  <si>
    <t>SARA GUTIERREZ MARTIN</t>
  </si>
  <si>
    <t>EMMA TORRES BELLIDO</t>
  </si>
  <si>
    <t>IZAN BALTASAR RUESCAS</t>
  </si>
  <si>
    <t>JULIAN GALLEGOS BENEDET</t>
  </si>
  <si>
    <t>DAVID TOCACIU CUESTA</t>
  </si>
  <si>
    <t>ALEXANDER MATCAS</t>
  </si>
  <si>
    <t>NOAH LOPEZ KOVALCHUK</t>
  </si>
  <si>
    <t>ADRIAN LAMAS CANO</t>
  </si>
  <si>
    <t>DANIEL DOMÍNGUEZ CAZORLA</t>
  </si>
  <si>
    <t>INFANTIL A3 FEMENINO</t>
  </si>
  <si>
    <t>ALEXIA JAIME ARRONIZ</t>
  </si>
  <si>
    <t>DANIELA IGLESIAS VAZQUEZ</t>
  </si>
  <si>
    <t>ISAAC VILLAVERDE GONZALEZ</t>
  </si>
  <si>
    <t>CLAUDIA ELOISA BETANCOURT GARCIA</t>
  </si>
  <si>
    <t>CARLOTA TOLEDO BAYED</t>
  </si>
  <si>
    <t>CARLA LOPEZ GONZALEZ</t>
  </si>
  <si>
    <t>LEONOR TRIGO DOMINGUEZ</t>
  </si>
  <si>
    <t>ELIANA CHAVEZ ROJO</t>
  </si>
  <si>
    <t>NOA FERNANDEZ PUERTA</t>
  </si>
  <si>
    <t>LUCÍA FERNÁNDEZ SÁNCHEZ</t>
  </si>
  <si>
    <t>LEIRE LEON GONZALO</t>
  </si>
  <si>
    <t>GALA DIAZ TRIVIÑO</t>
  </si>
  <si>
    <t>MARÍA HERNÁNDEZ CARMONA</t>
  </si>
  <si>
    <t>ARIADNA OROSCO CARRO</t>
  </si>
  <si>
    <t>HUGO DE BENITO LINDE</t>
  </si>
  <si>
    <t>RIDÁN PARRA</t>
  </si>
  <si>
    <t>TKD SEK</t>
  </si>
  <si>
    <t>ALVARO JUAN NORIEGA GARCÍA</t>
  </si>
  <si>
    <t>MIGUEL PORRAS GUERRA</t>
  </si>
  <si>
    <t>MATEO BARRERO LOPEZ</t>
  </si>
  <si>
    <t>RAÚL HERNÁNDEZ BECERRO</t>
  </si>
  <si>
    <t>TKD PUERTA DE HIERRO</t>
  </si>
  <si>
    <t>PEDRO LÓPEZ CAMPERO</t>
  </si>
  <si>
    <t>DAVID SÁNCHEZ CASTRO</t>
  </si>
  <si>
    <t>ALVARO PEROLIO MOLINA</t>
  </si>
  <si>
    <t>IZAN SIÑERIZ ORDOÑEZ</t>
  </si>
  <si>
    <t>DIEGO VEGAS CERRADA</t>
  </si>
  <si>
    <t>CAYSAN</t>
  </si>
  <si>
    <t>VICTOR OROZCO MIHA</t>
  </si>
  <si>
    <t>DANIEL LOPEZ MANZANERO</t>
  </si>
  <si>
    <t>GONZALO DIAZ SANZ</t>
  </si>
  <si>
    <t>ERIC MERKEL ARCE</t>
  </si>
  <si>
    <t>EMILIO NOVOA KIM</t>
  </si>
  <si>
    <t>GONZALO REINOSO MARTIN</t>
  </si>
  <si>
    <t>MADRID 91</t>
  </si>
  <si>
    <t>GUILLERMO CRUZADO RAMIREZ</t>
  </si>
  <si>
    <t>AHARON RUIZ ALBARRACIN</t>
  </si>
  <si>
    <t>NOA ESPÍN TELLO</t>
  </si>
  <si>
    <t>SILVIA GARCIA NUÑEZ</t>
  </si>
  <si>
    <t>NORA CHI HERCE PRIETO</t>
  </si>
  <si>
    <t>ELENA SOPEÑA HEREZA</t>
  </si>
  <si>
    <t>NAYLA KELMANOWICZ HURTADO</t>
  </si>
  <si>
    <t>DANNA MARTINEZ RAMOS</t>
  </si>
  <si>
    <t>LOLA PANIAGUA BUENO</t>
  </si>
  <si>
    <t>VERA PARRA PAREDES</t>
  </si>
  <si>
    <t>VERA PERRONI SANCHEZ</t>
  </si>
  <si>
    <t>ANDRA MARIA URSU</t>
  </si>
  <si>
    <t>OLIVER GÓMEZ GUADALIX</t>
  </si>
  <si>
    <t>IZAN RAMOS MARTINEZ</t>
  </si>
  <si>
    <t>MATEO CAMARERO AVILA</t>
  </si>
  <si>
    <t>DIEGO COBOS TODOR</t>
  </si>
  <si>
    <t>SERGIO ALVARADO VELEZ</t>
  </si>
  <si>
    <t>DANIEL LOPEZ TORRALBA</t>
  </si>
  <si>
    <t>ADRIAN ESPINOSA ARAGON</t>
  </si>
  <si>
    <t>RAFAEL FIORETTI JOA</t>
  </si>
  <si>
    <t>DARIUS ANDREI HUZA</t>
  </si>
  <si>
    <t>NOAH GASCO POHL</t>
  </si>
  <si>
    <t>INFANTIL B3 FEMENINO</t>
  </si>
  <si>
    <t>DANIELA UTRERA HERNANDEZ</t>
  </si>
  <si>
    <t>ENZO HERAS GOMEZ</t>
  </si>
  <si>
    <t>ADRIAN GONZALEZ RUIZ</t>
  </si>
  <si>
    <t>HA JUN KIM LEE</t>
  </si>
  <si>
    <t xml:space="preserve">ALEJANDRO KUN </t>
  </si>
  <si>
    <t>LISA MIRANDA FLORES SALAZAR</t>
  </si>
  <si>
    <t>EVA KLETT GONZALEZ</t>
  </si>
  <si>
    <t>ALHANA RODRIGUEZ DIAZ</t>
  </si>
  <si>
    <t>LAURA RAMAL NUÑEZ</t>
  </si>
  <si>
    <t>SOUKAINA AMTOUT</t>
  </si>
  <si>
    <t>LUNA COLOMER MORENO</t>
  </si>
  <si>
    <t>ALBA CASTAÑO MARTINEZ</t>
  </si>
  <si>
    <t>CLAUDIA ALBA HERVAS</t>
  </si>
  <si>
    <t>EMMA MENCIAS MANZANERO</t>
  </si>
  <si>
    <t>ROCIO ZARCO MARQUEZ</t>
  </si>
  <si>
    <t>AMEERAH SAHARA SGIRTA</t>
  </si>
  <si>
    <t>LUCÍA BASCARÁN OSORIO</t>
  </si>
  <si>
    <t>LUCÍA MARTÍN LÓPEZ</t>
  </si>
  <si>
    <t>NAHIA BESONIA SUAREZ</t>
  </si>
  <si>
    <t>SURYA LUNA ISNAENI</t>
  </si>
  <si>
    <t>ALEJANDRA DOMINGO FERNÁNDEZ</t>
  </si>
  <si>
    <t>NEREA HERNÁNDEZ BECERRO</t>
  </si>
  <si>
    <t>JIMENA TORRES PEREZ</t>
  </si>
  <si>
    <t>VERA MARQUÉS MORENO</t>
  </si>
  <si>
    <t>DAIRA ISABELLA ALVARELLOS ABOLINS</t>
  </si>
  <si>
    <t>GO-FIT MONTECARMELO</t>
  </si>
  <si>
    <t>HÉCTOR GARCÍA ALBA</t>
  </si>
  <si>
    <t>PUERTA DE HIERRO</t>
  </si>
  <si>
    <t>SANTIAGO MORABITO GARCIA</t>
  </si>
  <si>
    <t>FELIX HERVAS PARADELA</t>
  </si>
  <si>
    <t>LUCAS MIRANDA CAIDERERO</t>
  </si>
  <si>
    <t>IGNACIO MARTÍNEZ GARCÍA</t>
  </si>
  <si>
    <t>NUÑO SAN ROMAN LAMAS</t>
  </si>
  <si>
    <t>SEPHER FALAHI</t>
  </si>
  <si>
    <t>MICHAEL GONZALEZ DE LA CALLE</t>
  </si>
  <si>
    <t>SERGIO ADÁN RODRIGUEZ</t>
  </si>
  <si>
    <t>COLLADO VILLALVA</t>
  </si>
  <si>
    <t>SAMUEL ANDRES CANO BELLO</t>
  </si>
  <si>
    <t>CELIA GARCIA HEDO</t>
  </si>
  <si>
    <t>KEYSI JARAMILLO VENEGAS</t>
  </si>
  <si>
    <t>IRENE CHEHABI ELOSEGUI</t>
  </si>
  <si>
    <t>ALEJANDRA DÍAZ JIMENEZ</t>
  </si>
  <si>
    <t>KALEAH GASCO POHL</t>
  </si>
  <si>
    <t>RITA MUÑIZ RODENAS</t>
  </si>
  <si>
    <t>NEREA MARIA MARTIN SORIA</t>
  </si>
  <si>
    <t>LEONOR VIRGINIA MARTIN SORIA</t>
  </si>
  <si>
    <t>DANIELA PARRA PAREDES</t>
  </si>
  <si>
    <t>LUCIA MILLANES SERRANO</t>
  </si>
  <si>
    <t>MARTA HARO GONZALEZ</t>
  </si>
  <si>
    <t>LIDIA ALCALDE ZAMORA</t>
  </si>
  <si>
    <t>LAURA CARRANZA BUSTAMANTE</t>
  </si>
  <si>
    <t>CLAUDIA GALLEGOS BENEDET</t>
  </si>
  <si>
    <t>AINARA SAEZ BORREGO</t>
  </si>
  <si>
    <t>LUCIA IZQUIERDO GONZALEZ</t>
  </si>
  <si>
    <t>NICOLE LÓPEZ CAMPERO</t>
  </si>
  <si>
    <t>DAVID HEVIA RODRÍGUEZ</t>
  </si>
  <si>
    <t>IZAN JIMÉNEZ RUBIO</t>
  </si>
  <si>
    <t>YAGO PASCUAL CRESPO</t>
  </si>
  <si>
    <t>IVÁN RODRÍGUEZ BARTOLOMÉ</t>
  </si>
  <si>
    <t>MIGUEL HERNÁNDEZ CARMONA</t>
  </si>
  <si>
    <t>PABLO MEGIA TIMONEDA</t>
  </si>
  <si>
    <t>AITOR GARRIDO ORTEGO</t>
  </si>
  <si>
    <t>JOSE MIGUEL MORENO GARCIA</t>
  </si>
  <si>
    <t>ALVARO BORCAU BORCAU</t>
  </si>
  <si>
    <t>PABLO HUELVES MELERO</t>
  </si>
  <si>
    <t>MARC CONCHA RUIZ</t>
  </si>
  <si>
    <t>IKER GUTIERREZ MARTÍN-ARAGÓN</t>
  </si>
  <si>
    <t>GUILLERMO ARES USERO</t>
  </si>
  <si>
    <t>ADAM KEMMOU ABED</t>
  </si>
  <si>
    <t>ALVARO IGLESIAS VAZQUEZ</t>
  </si>
  <si>
    <t>HUGO GARCIA HEDO</t>
  </si>
  <si>
    <t>COLMENARVIEJO</t>
  </si>
  <si>
    <t>LAURA ISABEL REINA VILLALOBOS</t>
  </si>
  <si>
    <t>SILVIA ORTIZ MANZANO</t>
  </si>
  <si>
    <t>IRINA PAUL QUIRANT</t>
  </si>
  <si>
    <t>NOA PULIDO PRIETO</t>
  </si>
  <si>
    <t>RODRIGO GOMEZ MARTÍN</t>
  </si>
  <si>
    <t>JOSE ZIYANG LOPEZ SHI</t>
  </si>
  <si>
    <t>VICTOR GONZALEZ TALAVERA</t>
  </si>
  <si>
    <t>SAMUEL FERNANDEZ DIAZ</t>
  </si>
  <si>
    <t>MIGUEL SOPEÑA HEREZA</t>
  </si>
  <si>
    <t>ANDREA PALMER PADÍN</t>
  </si>
  <si>
    <t>MANUELA AGUIRRE BARACCENI</t>
  </si>
  <si>
    <t>GIULIA GROSSI CAMPO</t>
  </si>
  <si>
    <t>INÉS ANIA PULIDO</t>
  </si>
  <si>
    <t>AINHOA VERA MORA</t>
  </si>
  <si>
    <t>ANDREA CHUECA MERINO</t>
  </si>
  <si>
    <t>MARIA JOSE HERNANDEZ GRAJALES</t>
  </si>
  <si>
    <t>SOFIA ZOIDO KHANBHAI</t>
  </si>
  <si>
    <t>NOAH MONTERO PARRO</t>
  </si>
  <si>
    <t>ALBA MARIE WOLLERUP RODRIGO</t>
  </si>
  <si>
    <t>PEDRO JIMENEZ BELIJAR</t>
  </si>
  <si>
    <t>ELOY RIVIER JULIEN</t>
  </si>
  <si>
    <t>UNAI AHEDO ARTOLA</t>
  </si>
  <si>
    <t>DANIEL HERNÁN TORRES</t>
  </si>
  <si>
    <t>GABRIEL MARTÍNEZ GARCÍA</t>
  </si>
  <si>
    <t>DAVID GOMEZ-CAMBRONERO</t>
  </si>
  <si>
    <t>MATIAS MORABITO GARCIA</t>
  </si>
  <si>
    <t>SAMUEL FERNÁNDEZ CABEZAS</t>
  </si>
  <si>
    <t>ISRAEL SAN ANDRES YE</t>
  </si>
  <si>
    <t>ISAAC KIM ESTACIO</t>
  </si>
  <si>
    <t>GABRIEL KIM ESTACIO</t>
  </si>
  <si>
    <t>LOLA MUÑIZ RODENAS</t>
  </si>
  <si>
    <t>IRENE ERCOLANI ARELLANO</t>
  </si>
  <si>
    <t>PALOMA ORTIZ PEREZ</t>
  </si>
  <si>
    <t>PARNIA RAZI MOHAMMADI</t>
  </si>
  <si>
    <t>CLAUDIA PARRILLA FIAÑO</t>
  </si>
  <si>
    <t>IRENE VEGAS CERRADA</t>
  </si>
  <si>
    <t>PAULA ALCALDE ZAMORA</t>
  </si>
  <si>
    <t>LAURA IGLESIAS CASTILLO</t>
  </si>
  <si>
    <t>RAQUEL GARCIA SANCHEZ</t>
  </si>
  <si>
    <t>NATALIA WOLAK</t>
  </si>
  <si>
    <t>SARA GARCIA ALAMEDA</t>
  </si>
  <si>
    <t>LAIA RAPAPORT RODRIGUEZ</t>
  </si>
  <si>
    <t>ZOE SALGADO FERRERO</t>
  </si>
  <si>
    <t>CLARA CARRANZA BUSTAMANTE</t>
  </si>
  <si>
    <t>CARLA MUÑOZ TORRES</t>
  </si>
  <si>
    <t>SOFIA ALVAREZ SANCHEZ</t>
  </si>
  <si>
    <t>ANA SOFIA VIERA LANDAZABAL</t>
  </si>
  <si>
    <t>CRISTINA HERNANDEZ DRAGOMIR</t>
  </si>
  <si>
    <t>CARMEN RAMOS DIAZ</t>
  </si>
  <si>
    <t>NORA DÍAZ APARÍCIO</t>
  </si>
  <si>
    <t>PABLO NIETO MARTÍNEZ</t>
  </si>
  <si>
    <t>DAVID GARCIA LETON</t>
  </si>
  <si>
    <t>MICHELANGELO FIORETTI JOA</t>
  </si>
  <si>
    <t>IGNACIO MARTINEZ MARQUEZ</t>
  </si>
  <si>
    <t>YAGO CASTRO NAVAS</t>
  </si>
  <si>
    <t>ARTURO RODRIGUEZ CARRERA</t>
  </si>
  <si>
    <t>AMAIA MICHINEL MICHINEL</t>
  </si>
  <si>
    <t>RAQUEL SACRISTAN MAYORDOMO</t>
  </si>
  <si>
    <t>ALEXIA, ISAAC</t>
  </si>
  <si>
    <t>BRUNA,SALOMÉ</t>
  </si>
  <si>
    <t>VICTORIA, PEDRO</t>
  </si>
  <si>
    <t>AMAYA, JULIAN</t>
  </si>
  <si>
    <t>DAVID, EMMA</t>
  </si>
  <si>
    <t>SILVIA, NORA CHI</t>
  </si>
  <si>
    <t>ERIC, GONZALO</t>
  </si>
  <si>
    <t>NOA, LUCIA</t>
  </si>
  <si>
    <t>PAOLA, MARÍA</t>
  </si>
  <si>
    <t>SERGIO, DANNA</t>
  </si>
  <si>
    <t>ANA, NOA</t>
  </si>
  <si>
    <t>DANIEL, GABRIEL</t>
  </si>
  <si>
    <t>GUILLERMO, OLIVER</t>
  </si>
  <si>
    <t>DANIELA, ALEJANDRO</t>
  </si>
  <si>
    <t>DARIUS ANDREI, DANIEL</t>
  </si>
  <si>
    <t>IRENE, ANDREA</t>
  </si>
  <si>
    <t>ROCÍO, ALBA</t>
  </si>
  <si>
    <t>CELIA, KEYSI</t>
  </si>
  <si>
    <t>NAIRA, LUCIA</t>
  </si>
  <si>
    <t>KALEAH, EVA</t>
  </si>
  <si>
    <t>DANIELA, LISA MIRANDA</t>
  </si>
  <si>
    <t>NAHIA, SOUKAINA</t>
  </si>
  <si>
    <t>IVAN, YAGO</t>
  </si>
  <si>
    <t>CRISTINA, MÓNICA</t>
  </si>
  <si>
    <t>NOA, LAURA</t>
  </si>
  <si>
    <t>VICTOR, LIDIA</t>
  </si>
  <si>
    <t>PAULA, MARÍA JOSÉ</t>
  </si>
  <si>
    <t>IRENE, CLAUDIA</t>
  </si>
  <si>
    <t>SOFIA, JULIO</t>
  </si>
  <si>
    <t>CLAUDIA, ITZIAR</t>
  </si>
  <si>
    <t>PABLO, SANDRA</t>
  </si>
  <si>
    <t>MICHELANGELO, MATIAS</t>
  </si>
  <si>
    <t>CRISTINA, ALBA</t>
  </si>
  <si>
    <t>IRENE, PARNIA</t>
  </si>
  <si>
    <t>JULIAN, AMAYA, PEDRO</t>
  </si>
  <si>
    <t>ARINIA, ARIADNA, NOELIA</t>
  </si>
  <si>
    <t>HECTOR, OLIVER, AARON</t>
  </si>
  <si>
    <t>ALEJANDRO, ALICIA, AHARON</t>
  </si>
  <si>
    <t>NOA, LUCIA, ZOE</t>
  </si>
  <si>
    <t>MARIA, NAYLA, DARIUS ANDREI</t>
  </si>
  <si>
    <t>SERGIO, MATEO, SILVIA</t>
  </si>
  <si>
    <t>LUNA, CELIA, KEYSI</t>
  </si>
  <si>
    <t>IZAN, YAGO, DAVID</t>
  </si>
  <si>
    <t>ANDREA, ADAM, IRENE</t>
  </si>
  <si>
    <t>RAQUEL, LAURA, NATALIA</t>
  </si>
  <si>
    <t>PAULA, IRENE, CLAUDIA</t>
  </si>
  <si>
    <t>MATIAS, MARIO, MICHELANGELO</t>
  </si>
  <si>
    <t>ITZIAR, PABLO, SANDRA</t>
  </si>
  <si>
    <t>MARIA AVILA JIMENEZ</t>
  </si>
  <si>
    <t>MARCOS GARCIA TRENADO</t>
  </si>
  <si>
    <t>SERGIOO FELIPE ARANDA</t>
  </si>
  <si>
    <t>YAGO, MARCOS</t>
  </si>
  <si>
    <t>ITZIAR, SILVIA, MARIO</t>
  </si>
  <si>
    <t xml:space="preserve"> </t>
  </si>
  <si>
    <t>MARIA, NAYLA</t>
  </si>
  <si>
    <t>DIEGO, ANA, JADEN</t>
  </si>
  <si>
    <t>CARLA. MIGUEL, JIMENA</t>
  </si>
  <si>
    <t>NATHAN RAMON GARCIA</t>
  </si>
  <si>
    <t xml:space="preserve">ARTES MARCIALES COSLADA </t>
  </si>
  <si>
    <t>ANTONIO SEVILLANO GONZALEZ</t>
  </si>
  <si>
    <t>CONSTANTINE KAVELAKIS</t>
  </si>
  <si>
    <t>ADRIAN POZO GARCIA</t>
  </si>
  <si>
    <t>NAM SAM</t>
  </si>
  <si>
    <t>BRUNO LEYVA BIEZMA</t>
  </si>
  <si>
    <t>CASIAN BORZA</t>
  </si>
  <si>
    <t>CLUB TKD PUERTA DE HIERRO</t>
  </si>
  <si>
    <t>MARCO GARCIA LUENGO</t>
  </si>
  <si>
    <t>HARON SAMOUH DAOUDY</t>
  </si>
  <si>
    <t>DYLAN DURAN CARDOZO</t>
  </si>
  <si>
    <t>3ª JORNADA</t>
  </si>
  <si>
    <t>C.D. ALCALA ARENA</t>
  </si>
  <si>
    <t xml:space="preserve">EVA CARRERAS DOMINGUEZ </t>
  </si>
  <si>
    <t>TKD. VILLANUEVA DEL PARDILLO</t>
  </si>
  <si>
    <t>EVA BLAZQUEZ SERRANO</t>
  </si>
  <si>
    <t>ADRIANA PULIDO GOMEZ</t>
  </si>
  <si>
    <t>SARA JUSDADO PEREZ</t>
  </si>
  <si>
    <t>MARA BALTASAR RUESCAS</t>
  </si>
  <si>
    <t>ELENA BUITRAGO URDA</t>
  </si>
  <si>
    <t>DIEGO MARTIN GONAZALEZ</t>
  </si>
  <si>
    <t>ARTES MARCIALES COSLADA</t>
  </si>
  <si>
    <t>DIEGO ALAMEDA GOMEZ</t>
  </si>
  <si>
    <t>SEBASTIAN ACATRINEI LIFICIU</t>
  </si>
  <si>
    <t>SOFIA LI PUGNA</t>
  </si>
  <si>
    <t>MARTINA PULIDO GOMEZ</t>
  </si>
  <si>
    <t>SIMON GARCIA LUENGO</t>
  </si>
  <si>
    <t>ZOE ROSES HERRANZ</t>
  </si>
  <si>
    <t>NATALIA MARIA VASSI</t>
  </si>
  <si>
    <t>ERIC DE ORIVE JIMENEZ</t>
  </si>
  <si>
    <t>OSCAR CANO CLEMENTE</t>
  </si>
  <si>
    <t>JIAHENG HUANG</t>
  </si>
  <si>
    <t>CENTRO DEPORTIVO EL VALLE</t>
  </si>
  <si>
    <t>DIEGO CALERO GALVEZ</t>
  </si>
  <si>
    <t>MARCOS MARTIN RUEDA</t>
  </si>
  <si>
    <t>DIEGO DIAZ-FLORES NIETO</t>
  </si>
  <si>
    <t>CLUB TAEKWONDO GETAFE</t>
  </si>
  <si>
    <t>MATEO NICOLAS GUTIERREZ</t>
  </si>
  <si>
    <t>HECTOR GARCÍA SOROZA</t>
  </si>
  <si>
    <t>JUAN MANUEL COGOLLUDO SÁNCHEZ-TERCERO</t>
  </si>
  <si>
    <t>SERGIO RODRIGUEZ CUEVAS</t>
  </si>
  <si>
    <t>PEDRO PACHECO</t>
  </si>
  <si>
    <t>SPORT ZAPICO</t>
  </si>
  <si>
    <t>MARTIN SUAREZ LLORENTE</t>
  </si>
  <si>
    <t>ALEJANDRO GÓMEZ PORRO GARCIA</t>
  </si>
  <si>
    <t>ICIAR TARIFA MARIA</t>
  </si>
  <si>
    <t>SAJAA EL MORHARANI TOUZANI</t>
  </si>
  <si>
    <t>SARA LEYVA BIEZMA I</t>
  </si>
  <si>
    <t>NAM SAN</t>
  </si>
  <si>
    <t>CARLA PULIDO GOMEZ</t>
  </si>
  <si>
    <t>AINHOA MARTIN BLANCO</t>
  </si>
  <si>
    <t>NAIA CABEZON PUERTAS</t>
  </si>
  <si>
    <t>VICTORIA MONTOTO GOMEZ</t>
  </si>
  <si>
    <t>CHRSTIAN LOPEZ MUÑOZ</t>
  </si>
  <si>
    <t>MARIA HERNANDO GARCIA</t>
  </si>
  <si>
    <t>VICTORIA HERNANDO GARCIA</t>
  </si>
  <si>
    <t>DANIELA CASAS CAÑAS</t>
  </si>
  <si>
    <t>NATALIA BARRANQUERO GONZALEZ</t>
  </si>
  <si>
    <t>MARTA MARTIN GOMEZ</t>
  </si>
  <si>
    <t>HERNAN MENDEZ MUÑOZ</t>
  </si>
  <si>
    <t>ROMAN BAILON PONCE</t>
  </si>
  <si>
    <t>DIEGO BLAZQUEZ SERRANO</t>
  </si>
  <si>
    <t>IVAN ZOTKIN KUZMA</t>
  </si>
  <si>
    <t>ASIER NARANJO CAÑAMERO</t>
  </si>
  <si>
    <t>ALEX GUTIERREZ GARCIA</t>
  </si>
  <si>
    <t>ELENA GOMEZ MARTIN</t>
  </si>
  <si>
    <t>SARA FERNANDEZ MUÑOZ</t>
  </si>
  <si>
    <t>ALONSO GONZALEZ MUÑOZ</t>
  </si>
  <si>
    <t>LUCAS CORSINO GARCIA</t>
  </si>
  <si>
    <t>SARA ROMAN CLEMENTE</t>
  </si>
  <si>
    <t>JUAN VICENTE RUIZ GOMEZ</t>
  </si>
  <si>
    <t>ADRIAN DOMINGUEZ JIMENEZ</t>
  </si>
  <si>
    <t>MIREL NICOLAS ROMAN</t>
  </si>
  <si>
    <t>CARLA SANCHEZ LOPEZ</t>
  </si>
  <si>
    <t>MARTA PICAZO VIÑAS</t>
  </si>
  <si>
    <t>MARCO GARRIDO CANDIA</t>
  </si>
  <si>
    <t>MARA, IZAN</t>
  </si>
  <si>
    <t>ELENA, JULIAN</t>
  </si>
  <si>
    <t>ALBA, ENARA</t>
  </si>
  <si>
    <t>DIEGO, NATHEN</t>
  </si>
  <si>
    <t>ARINIA, NOELIA</t>
  </si>
  <si>
    <t>DANIELA, MIGUEL</t>
  </si>
  <si>
    <t>ERIK, ÁLVARO</t>
  </si>
  <si>
    <t>BRUNO, MARTINA</t>
  </si>
  <si>
    <t>DIEGO, GABRIEL</t>
  </si>
  <si>
    <t>ALEXIS, LEYRE</t>
  </si>
  <si>
    <t>AARON ALEXANDER, MATEO</t>
  </si>
  <si>
    <t>ANA, IZAN</t>
  </si>
  <si>
    <t>ALEJANDRO, DIEGO</t>
  </si>
  <si>
    <t>NOAH, GONZALO</t>
  </si>
  <si>
    <t>SARA, CARLA</t>
  </si>
  <si>
    <t>MONICA, RENATA SOFIA</t>
  </si>
  <si>
    <t>MARTINA, NAIARA</t>
  </si>
  <si>
    <t>ANDREA, AMEERAH SAHARA</t>
  </si>
  <si>
    <t>ASIER, DANIELA</t>
  </si>
  <si>
    <t>NUÑO, MICHAEL</t>
  </si>
  <si>
    <t>GUILLERMO, SEPHER</t>
  </si>
  <si>
    <t>CLAUDIA, ALVARO</t>
  </si>
  <si>
    <t xml:space="preserve"> DANIELA, VALERIA</t>
  </si>
  <si>
    <t>AINARA, SARA</t>
  </si>
  <si>
    <t>DIEGO, IVAN</t>
  </si>
  <si>
    <t>RODRIGO, ELENA</t>
  </si>
  <si>
    <t>ZOE, SARA</t>
  </si>
  <si>
    <t>ALEJANDRO, ADRIANA</t>
  </si>
  <si>
    <t>CARLA, CLARA</t>
  </si>
  <si>
    <t>CARLA, LUCIA</t>
  </si>
  <si>
    <t xml:space="preserve"> MYRIAM, CALUDIA</t>
  </si>
  <si>
    <t>JUDITH, RAUL, ALEXANDER</t>
  </si>
  <si>
    <t>ALBA, DARIO, IZAN</t>
  </si>
  <si>
    <t>BRUNA, SALOME, VICTORIA</t>
  </si>
  <si>
    <t>SERGIO, DANNA, VICTORIA</t>
  </si>
  <si>
    <t>IZAN, MATEO, BRUNO</t>
  </si>
  <si>
    <t>DIEGO, ANA, ALEJANDRO</t>
  </si>
  <si>
    <t>NAIA, ALEJANDRA, GUILLERMO</t>
  </si>
  <si>
    <t>LEYRE, ADRIANA, ALEXIS</t>
  </si>
  <si>
    <t>CARLA, LEONARDO, ALEJANDRO</t>
  </si>
  <si>
    <t>LAURA, MARIA, VICTORIA</t>
  </si>
  <si>
    <t>NICOLE, ALEJANDRA, NEREA</t>
  </si>
  <si>
    <t>ANDREA, AMEERAH SAHARA, SANTIAGO</t>
  </si>
  <si>
    <t>MARTINA, CLAUDIA, NAIARA</t>
  </si>
  <si>
    <t>LIDIA, ALVARO, VICTOR</t>
  </si>
  <si>
    <t>RODRIGO, ELENA, HASIER</t>
  </si>
  <si>
    <t>PARNIA, IRENE, ARTURO</t>
  </si>
  <si>
    <t>CARLA, CARLA, CLARA</t>
  </si>
  <si>
    <t>YAGO, JUAN</t>
  </si>
  <si>
    <t>GABRIEL LOPEZ CASTREJON</t>
  </si>
  <si>
    <t>NAHIA, CLAUDIA, SOUKAINA</t>
  </si>
  <si>
    <t>LEONOR MARTIN, NEREA MARTIN</t>
  </si>
  <si>
    <t>LAURA, MARIA</t>
  </si>
  <si>
    <t>ELENA, ENARA, JULIAN</t>
  </si>
  <si>
    <t>DAVID ALEXANDER GRANDA TACO</t>
  </si>
  <si>
    <t>DAVID, JORGE</t>
  </si>
  <si>
    <t>T 1</t>
  </si>
  <si>
    <t>T 2</t>
  </si>
  <si>
    <t>T 3</t>
  </si>
  <si>
    <t>CLASF. 1ª JORNADA</t>
  </si>
  <si>
    <t>CLASF. 2ª JORNADA</t>
  </si>
  <si>
    <t>CLASF. 3ª JORNADA</t>
  </si>
  <si>
    <t>CLASIFICACIÓN GENERAL</t>
  </si>
  <si>
    <t>PREINFANTIL 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</si>
</sst>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/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2" fillId="0" borderId="1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3" sqref="B3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16" style="4" customWidth="1"/>
    <col min="4" max="4" width="5.7109375" style="8" customWidth="1"/>
    <col min="5" max="5" width="5.85546875" style="8" customWidth="1"/>
    <col min="6" max="6" width="5.5703125" style="8" customWidth="1"/>
    <col min="7" max="7" width="11.42578125" style="8"/>
    <col min="8" max="8" width="19" style="20" customWidth="1"/>
    <col min="9" max="9" width="5.7109375" style="8" customWidth="1"/>
    <col min="10" max="10" width="5.5703125" style="8" customWidth="1"/>
    <col min="11" max="11" width="11.42578125" style="8"/>
    <col min="12" max="12" width="18.28515625" style="20" customWidth="1"/>
    <col min="13" max="14" width="5.7109375" style="8" customWidth="1"/>
    <col min="15" max="15" width="11.42578125" style="8"/>
    <col min="16" max="16" width="18.140625" style="20" customWidth="1"/>
    <col min="17" max="17" width="22.85546875" style="20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</row>
    <row r="2" spans="1:17" x14ac:dyDescent="0.25">
      <c r="A2" s="38"/>
      <c r="B2" s="38"/>
      <c r="C2" s="38"/>
      <c r="D2" s="38"/>
      <c r="E2" s="38"/>
      <c r="F2" s="38"/>
      <c r="G2" s="38"/>
      <c r="I2" s="38"/>
      <c r="J2" s="38"/>
      <c r="K2" s="38"/>
      <c r="M2" s="38"/>
      <c r="N2" s="38"/>
      <c r="O2" s="38"/>
    </row>
    <row r="3" spans="1:17" ht="15.75" x14ac:dyDescent="0.25">
      <c r="A3" s="38"/>
      <c r="B3" s="43" t="s">
        <v>795</v>
      </c>
      <c r="C3" s="38"/>
      <c r="D3" s="38"/>
      <c r="E3" s="38"/>
      <c r="F3" s="38"/>
      <c r="G3" s="38"/>
      <c r="I3" s="38"/>
      <c r="J3" s="38"/>
      <c r="K3" s="38"/>
      <c r="M3" s="38"/>
      <c r="N3" s="38"/>
      <c r="O3" s="38"/>
    </row>
    <row r="4" spans="1:17" ht="15.75" x14ac:dyDescent="0.25">
      <c r="A4" s="38"/>
      <c r="B4" s="42"/>
      <c r="C4" s="38"/>
      <c r="D4" s="38"/>
      <c r="E4" s="38"/>
      <c r="F4" s="38"/>
      <c r="G4" s="38"/>
      <c r="I4" s="38"/>
      <c r="J4" s="38"/>
      <c r="K4" s="38"/>
      <c r="M4" s="38"/>
      <c r="N4" s="38"/>
      <c r="O4" s="38"/>
    </row>
    <row r="5" spans="1:17" x14ac:dyDescent="0.25">
      <c r="B5" s="17" t="s">
        <v>0</v>
      </c>
      <c r="C5" s="17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18" t="s">
        <v>791</v>
      </c>
      <c r="I5" s="17" t="s">
        <v>788</v>
      </c>
      <c r="J5" s="17" t="s">
        <v>789</v>
      </c>
      <c r="K5" s="17" t="s">
        <v>382</v>
      </c>
      <c r="L5" s="18" t="s">
        <v>792</v>
      </c>
      <c r="M5" s="17" t="s">
        <v>788</v>
      </c>
      <c r="N5" s="17" t="s">
        <v>789</v>
      </c>
      <c r="O5" s="17" t="s">
        <v>667</v>
      </c>
      <c r="P5" s="18" t="s">
        <v>793</v>
      </c>
      <c r="Q5" s="19" t="s">
        <v>794</v>
      </c>
    </row>
    <row r="6" spans="1:17" x14ac:dyDescent="0.25">
      <c r="A6" s="12">
        <v>1</v>
      </c>
      <c r="B6" s="12" t="s">
        <v>154</v>
      </c>
      <c r="C6" s="12" t="s">
        <v>69</v>
      </c>
      <c r="D6" s="13">
        <v>25.6</v>
      </c>
      <c r="E6" s="13">
        <v>21.3</v>
      </c>
      <c r="F6" s="13">
        <v>22.5</v>
      </c>
      <c r="G6" s="13">
        <f>SUM(D6:F6)</f>
        <v>69.400000000000006</v>
      </c>
      <c r="H6" s="14">
        <v>3</v>
      </c>
      <c r="I6" s="13">
        <f>3.2+3.2+3.1+4+4.2+4.1</f>
        <v>21.799999999999997</v>
      </c>
      <c r="J6" s="13">
        <f>3.1+3+3+3.8+3.9+3.9</f>
        <v>20.699999999999996</v>
      </c>
      <c r="K6" s="13">
        <f>SUM(I6:J6)</f>
        <v>42.499999999999993</v>
      </c>
      <c r="L6" s="14">
        <v>23</v>
      </c>
      <c r="M6" s="13">
        <f>2.7+2.8+2.7+3.7+4+3.9</f>
        <v>19.799999999999997</v>
      </c>
      <c r="N6" s="13">
        <f>3.1+2.7+2.7+4.2+3.6+3.7</f>
        <v>20</v>
      </c>
      <c r="O6" s="13">
        <f>M6+N6</f>
        <v>39.799999999999997</v>
      </c>
      <c r="P6" s="14">
        <v>23</v>
      </c>
      <c r="Q6" s="15">
        <f t="shared" ref="Q6:Q43" si="0">H6+L6+P6</f>
        <v>49</v>
      </c>
    </row>
    <row r="7" spans="1:17" x14ac:dyDescent="0.25">
      <c r="A7" s="12">
        <v>2</v>
      </c>
      <c r="B7" s="16" t="s">
        <v>381</v>
      </c>
      <c r="C7" s="12" t="s">
        <v>82</v>
      </c>
      <c r="D7" s="13"/>
      <c r="E7" s="13"/>
      <c r="F7" s="13"/>
      <c r="G7" s="13"/>
      <c r="H7" s="14"/>
      <c r="I7" s="13">
        <v>20.2</v>
      </c>
      <c r="J7" s="13">
        <v>19.7</v>
      </c>
      <c r="K7" s="13">
        <f>SUM(I7:J7)</f>
        <v>39.9</v>
      </c>
      <c r="L7" s="14">
        <v>13</v>
      </c>
      <c r="M7" s="13">
        <f>2.6+2.6+2.6+3.7+3.7+3.6</f>
        <v>18.8</v>
      </c>
      <c r="N7" s="13">
        <f>2.9+2.5+2.6+3.8+3.5+3.5</f>
        <v>18.8</v>
      </c>
      <c r="O7" s="13">
        <f>M7+N7</f>
        <v>37.6</v>
      </c>
      <c r="P7" s="14">
        <v>18</v>
      </c>
      <c r="Q7" s="15">
        <f t="shared" si="0"/>
        <v>31</v>
      </c>
    </row>
    <row r="8" spans="1:17" x14ac:dyDescent="0.25">
      <c r="A8" s="12">
        <v>3</v>
      </c>
      <c r="B8" s="16" t="s">
        <v>367</v>
      </c>
      <c r="C8" s="12" t="s">
        <v>82</v>
      </c>
      <c r="D8" s="13"/>
      <c r="E8" s="13"/>
      <c r="F8" s="13"/>
      <c r="G8" s="13"/>
      <c r="H8" s="14"/>
      <c r="I8" s="13">
        <f>2.8+2.9+2.9+3.8+3.9+3.9</f>
        <v>20.199999999999996</v>
      </c>
      <c r="J8" s="13">
        <f>2.5+2.7+2.7+3.6+3.7+3.8</f>
        <v>19</v>
      </c>
      <c r="K8" s="13">
        <f>SUM(I8:J8)</f>
        <v>39.199999999999996</v>
      </c>
      <c r="L8" s="14">
        <v>13</v>
      </c>
      <c r="M8" s="13">
        <f>2.6+2.6+2.5+3.7+3.6+3.6</f>
        <v>18.600000000000001</v>
      </c>
      <c r="N8" s="13">
        <f>2.7+2.5+2.7+3.7+3.6+3.7</f>
        <v>18.900000000000002</v>
      </c>
      <c r="O8" s="13">
        <f>M8+N8</f>
        <v>37.5</v>
      </c>
      <c r="P8" s="14">
        <v>13</v>
      </c>
      <c r="Q8" s="15">
        <f t="shared" si="0"/>
        <v>26</v>
      </c>
    </row>
    <row r="9" spans="1:17" x14ac:dyDescent="0.25">
      <c r="A9" s="12">
        <v>4</v>
      </c>
      <c r="B9" s="12" t="s">
        <v>152</v>
      </c>
      <c r="C9" s="12" t="s">
        <v>57</v>
      </c>
      <c r="D9" s="13">
        <v>23.7</v>
      </c>
      <c r="E9" s="13">
        <v>22</v>
      </c>
      <c r="F9" s="13">
        <v>21.2</v>
      </c>
      <c r="G9" s="13">
        <f>SUM(D9:F9)</f>
        <v>66.900000000000006</v>
      </c>
      <c r="H9" s="14">
        <v>23</v>
      </c>
      <c r="I9" s="13"/>
      <c r="J9" s="13"/>
      <c r="K9" s="13"/>
      <c r="L9" s="14"/>
      <c r="M9" s="13"/>
      <c r="N9" s="13"/>
      <c r="O9" s="13"/>
      <c r="P9" s="14"/>
      <c r="Q9" s="15">
        <f t="shared" si="0"/>
        <v>23</v>
      </c>
    </row>
    <row r="10" spans="1:17" x14ac:dyDescent="0.25">
      <c r="A10" s="12">
        <v>5</v>
      </c>
      <c r="B10" s="12" t="s">
        <v>151</v>
      </c>
      <c r="C10" s="12" t="s">
        <v>57</v>
      </c>
      <c r="D10" s="13">
        <v>22.7</v>
      </c>
      <c r="E10" s="13">
        <v>20.100000000000001</v>
      </c>
      <c r="F10" s="13">
        <v>19.899999999999999</v>
      </c>
      <c r="G10" s="13">
        <f>SUM(D10:F10)</f>
        <v>62.699999999999996</v>
      </c>
      <c r="H10" s="14">
        <v>18</v>
      </c>
      <c r="I10" s="13"/>
      <c r="J10" s="13"/>
      <c r="K10" s="13"/>
      <c r="L10" s="14"/>
      <c r="M10" s="13">
        <f>2.6+2.6+2.6+3.7+3.6+3.5</f>
        <v>18.600000000000001</v>
      </c>
      <c r="N10" s="13">
        <f>2.6+2.5+2.6+3.7+3.4+3.4</f>
        <v>18.2</v>
      </c>
      <c r="O10" s="13">
        <f>M10+N10</f>
        <v>36.799999999999997</v>
      </c>
      <c r="P10" s="14">
        <v>3</v>
      </c>
      <c r="Q10" s="15">
        <f t="shared" si="0"/>
        <v>21</v>
      </c>
    </row>
    <row r="11" spans="1:17" x14ac:dyDescent="0.25">
      <c r="A11" s="12">
        <v>6</v>
      </c>
      <c r="B11" s="12" t="s">
        <v>142</v>
      </c>
      <c r="C11" s="12" t="s">
        <v>141</v>
      </c>
      <c r="D11" s="13">
        <v>22.3</v>
      </c>
      <c r="E11" s="13">
        <v>18.3</v>
      </c>
      <c r="F11" s="13">
        <v>16.2</v>
      </c>
      <c r="G11" s="13">
        <f>SUM(D11:F11)</f>
        <v>56.8</v>
      </c>
      <c r="H11" s="14">
        <v>3</v>
      </c>
      <c r="I11" s="13">
        <f>2.8+2.9+2.7+3.9+3.8+3.6</f>
        <v>19.7</v>
      </c>
      <c r="J11" s="13">
        <f>2.8+2.7+2.6+3.8+3.6+3.7</f>
        <v>19.2</v>
      </c>
      <c r="K11" s="13">
        <f>SUM(I11:J11)</f>
        <v>38.9</v>
      </c>
      <c r="L11" s="14">
        <v>3</v>
      </c>
      <c r="M11" s="13">
        <f>2.5+2.5+2.5+3.4+3.5+3.4</f>
        <v>17.8</v>
      </c>
      <c r="N11" s="13">
        <f>2.8+2.5+2.6+3.9+3.6+3.6</f>
        <v>19</v>
      </c>
      <c r="O11" s="13">
        <f>M11+N11</f>
        <v>36.799999999999997</v>
      </c>
      <c r="P11" s="14">
        <v>13</v>
      </c>
      <c r="Q11" s="15">
        <f t="shared" si="0"/>
        <v>19</v>
      </c>
    </row>
    <row r="12" spans="1:17" x14ac:dyDescent="0.25">
      <c r="A12" s="12">
        <v>7</v>
      </c>
      <c r="B12" s="16" t="s">
        <v>368</v>
      </c>
      <c r="C12" s="12" t="s">
        <v>82</v>
      </c>
      <c r="D12" s="13"/>
      <c r="E12" s="13"/>
      <c r="F12" s="13"/>
      <c r="G12" s="13"/>
      <c r="H12" s="14"/>
      <c r="I12" s="13">
        <f>2.9+2.8+2.7+3.7+3.7+3.7+3.6</f>
        <v>23.099999999999998</v>
      </c>
      <c r="J12" s="13">
        <f>2.5+2.4+2.5+3.5+3.5+3.6</f>
        <v>18</v>
      </c>
      <c r="K12" s="13">
        <f>SUM(I12:J12)</f>
        <v>41.099999999999994</v>
      </c>
      <c r="L12" s="14">
        <v>18</v>
      </c>
      <c r="M12" s="13"/>
      <c r="N12" s="13"/>
      <c r="O12" s="13"/>
      <c r="P12" s="14"/>
      <c r="Q12" s="15">
        <f t="shared" si="0"/>
        <v>18</v>
      </c>
    </row>
    <row r="13" spans="1:17" x14ac:dyDescent="0.25">
      <c r="A13" s="12">
        <v>8</v>
      </c>
      <c r="B13" s="12" t="s">
        <v>153</v>
      </c>
      <c r="C13" s="12" t="s">
        <v>7</v>
      </c>
      <c r="D13" s="13">
        <v>23.6</v>
      </c>
      <c r="E13" s="13">
        <v>17.8</v>
      </c>
      <c r="F13" s="13">
        <v>17.899999999999999</v>
      </c>
      <c r="G13" s="13">
        <f t="shared" ref="G13:G19" si="1">SUM(D13:F13)</f>
        <v>59.300000000000004</v>
      </c>
      <c r="H13" s="14">
        <v>13</v>
      </c>
      <c r="I13" s="13"/>
      <c r="J13" s="13"/>
      <c r="K13" s="13"/>
      <c r="L13" s="14"/>
      <c r="M13" s="13">
        <f>2.6+2.6+2.6+3.6+3.7+3.5</f>
        <v>18.600000000000001</v>
      </c>
      <c r="N13" s="13">
        <f>2.7+2.5+2.4+3.6+3.4+3.4</f>
        <v>18</v>
      </c>
      <c r="O13" s="13">
        <f>M13+N13</f>
        <v>36.6</v>
      </c>
      <c r="P13" s="14">
        <v>3</v>
      </c>
      <c r="Q13" s="15">
        <f t="shared" si="0"/>
        <v>16</v>
      </c>
    </row>
    <row r="14" spans="1:17" x14ac:dyDescent="0.25">
      <c r="A14" s="12">
        <v>9</v>
      </c>
      <c r="B14" s="12" t="s">
        <v>145</v>
      </c>
      <c r="C14" s="12" t="s">
        <v>6</v>
      </c>
      <c r="D14" s="13">
        <v>22.5</v>
      </c>
      <c r="E14" s="13">
        <v>17.600000000000001</v>
      </c>
      <c r="F14" s="13">
        <v>19.7</v>
      </c>
      <c r="G14" s="13">
        <f t="shared" si="1"/>
        <v>59.8</v>
      </c>
      <c r="H14" s="14">
        <v>13</v>
      </c>
      <c r="I14" s="13"/>
      <c r="J14" s="13"/>
      <c r="K14" s="13"/>
      <c r="L14" s="14"/>
      <c r="M14" s="13"/>
      <c r="N14" s="13"/>
      <c r="O14" s="13"/>
      <c r="P14" s="14"/>
      <c r="Q14" s="15">
        <f t="shared" si="0"/>
        <v>13</v>
      </c>
    </row>
    <row r="15" spans="1:17" x14ac:dyDescent="0.25">
      <c r="A15" s="12">
        <v>10</v>
      </c>
      <c r="B15" s="12" t="s">
        <v>155</v>
      </c>
      <c r="C15" s="12" t="s">
        <v>26</v>
      </c>
      <c r="D15" s="13">
        <v>20.7</v>
      </c>
      <c r="E15" s="13">
        <v>15.6</v>
      </c>
      <c r="F15" s="13">
        <v>17.600000000000001</v>
      </c>
      <c r="G15" s="13">
        <f t="shared" si="1"/>
        <v>53.9</v>
      </c>
      <c r="H15" s="14">
        <v>3</v>
      </c>
      <c r="I15" s="13">
        <f>2.7+2.6+2.9+3.7+3.6+3.8</f>
        <v>19.3</v>
      </c>
      <c r="J15" s="13">
        <f>2.5+2.5+2.2+3.5+3.5+3.3</f>
        <v>17.5</v>
      </c>
      <c r="K15" s="13">
        <f t="shared" ref="K15:K27" si="2">SUM(I15:J15)</f>
        <v>36.799999999999997</v>
      </c>
      <c r="L15" s="14">
        <v>3</v>
      </c>
      <c r="M15" s="13">
        <f>2.6+2.6+2.6+3.6+3.7+3.6</f>
        <v>18.700000000000003</v>
      </c>
      <c r="N15" s="13">
        <f>2.4+2.5+2.6+3.4+3.5+3.5</f>
        <v>17.899999999999999</v>
      </c>
      <c r="O15" s="13">
        <f t="shared" ref="O15:O25" si="3">M15+N15</f>
        <v>36.6</v>
      </c>
      <c r="P15" s="14">
        <v>3</v>
      </c>
      <c r="Q15" s="15">
        <f t="shared" si="0"/>
        <v>9</v>
      </c>
    </row>
    <row r="16" spans="1:17" x14ac:dyDescent="0.25">
      <c r="A16" s="12">
        <v>11</v>
      </c>
      <c r="B16" s="12" t="s">
        <v>144</v>
      </c>
      <c r="C16" s="12" t="s">
        <v>6</v>
      </c>
      <c r="D16" s="13">
        <v>19.899999999999999</v>
      </c>
      <c r="E16" s="13">
        <v>16.5</v>
      </c>
      <c r="F16" s="13">
        <v>16.899999999999999</v>
      </c>
      <c r="G16" s="13">
        <f t="shared" si="1"/>
        <v>53.3</v>
      </c>
      <c r="H16" s="14">
        <v>3</v>
      </c>
      <c r="I16" s="13">
        <f>2.6+2.6+2.6+3.7+3.7+3.7</f>
        <v>18.899999999999999</v>
      </c>
      <c r="J16" s="13">
        <f>2.4+2.2+2.3+3.2+3.2+3.3</f>
        <v>16.600000000000001</v>
      </c>
      <c r="K16" s="13">
        <f t="shared" si="2"/>
        <v>35.5</v>
      </c>
      <c r="L16" s="14">
        <v>3</v>
      </c>
      <c r="M16" s="13">
        <f>2.5+2.5+2.5+3.5+3.7+3.7</f>
        <v>18.399999999999999</v>
      </c>
      <c r="N16" s="13">
        <f>2.6+2.5+2.5+3.5+3.5+3.5</f>
        <v>18.100000000000001</v>
      </c>
      <c r="O16" s="13">
        <f t="shared" si="3"/>
        <v>36.5</v>
      </c>
      <c r="P16" s="14">
        <v>3</v>
      </c>
      <c r="Q16" s="15">
        <f t="shared" si="0"/>
        <v>9</v>
      </c>
    </row>
    <row r="17" spans="1:17" x14ac:dyDescent="0.25">
      <c r="A17" s="12">
        <v>12</v>
      </c>
      <c r="B17" s="12" t="s">
        <v>147</v>
      </c>
      <c r="C17" s="12" t="s">
        <v>6</v>
      </c>
      <c r="D17" s="13">
        <v>21.1</v>
      </c>
      <c r="E17" s="13">
        <v>16.899999999999999</v>
      </c>
      <c r="F17" s="13">
        <v>17.899999999999999</v>
      </c>
      <c r="G17" s="13">
        <f t="shared" si="1"/>
        <v>55.9</v>
      </c>
      <c r="H17" s="14">
        <v>3</v>
      </c>
      <c r="I17" s="13">
        <f>2.6+2.6+2.6+3.6+3.6+3.6</f>
        <v>18.600000000000001</v>
      </c>
      <c r="J17" s="13">
        <f>2.2+2.1+2.2+3.4+3.2+3.3</f>
        <v>16.400000000000002</v>
      </c>
      <c r="K17" s="13">
        <f t="shared" si="2"/>
        <v>35</v>
      </c>
      <c r="L17" s="14">
        <v>3</v>
      </c>
      <c r="M17" s="13">
        <f>2.5+2.5+2.5+3.4+3.6+3.7</f>
        <v>18.2</v>
      </c>
      <c r="N17" s="13">
        <f>2.5+2.5+2.4+3.4+3.4+3.3</f>
        <v>17.5</v>
      </c>
      <c r="O17" s="13">
        <f t="shared" si="3"/>
        <v>35.700000000000003</v>
      </c>
      <c r="P17" s="14">
        <v>3</v>
      </c>
      <c r="Q17" s="15">
        <f t="shared" si="0"/>
        <v>9</v>
      </c>
    </row>
    <row r="18" spans="1:17" x14ac:dyDescent="0.25">
      <c r="A18" s="12">
        <v>13</v>
      </c>
      <c r="B18" s="12" t="s">
        <v>148</v>
      </c>
      <c r="C18" s="12" t="s">
        <v>6</v>
      </c>
      <c r="D18" s="13">
        <v>21.7</v>
      </c>
      <c r="E18" s="13">
        <v>17.899999999999999</v>
      </c>
      <c r="F18" s="13">
        <v>17.7</v>
      </c>
      <c r="G18" s="13">
        <f t="shared" si="1"/>
        <v>57.3</v>
      </c>
      <c r="H18" s="14">
        <v>3</v>
      </c>
      <c r="I18" s="13">
        <f>2.6+2.7+2.7+3.7+3.7+3.7</f>
        <v>19.099999999999998</v>
      </c>
      <c r="J18" s="13">
        <f>2.4+2.4+2.4+3.5+3.4+3.5</f>
        <v>17.600000000000001</v>
      </c>
      <c r="K18" s="13">
        <f t="shared" si="2"/>
        <v>36.700000000000003</v>
      </c>
      <c r="L18" s="14">
        <v>3</v>
      </c>
      <c r="M18" s="13">
        <f>2.4+2.5+2.5+3.2+3.4+3.4</f>
        <v>17.400000000000002</v>
      </c>
      <c r="N18" s="13">
        <f>2.7+2.4+2.2+3.6+3.3+3.2</f>
        <v>17.399999999999999</v>
      </c>
      <c r="O18" s="13">
        <f t="shared" si="3"/>
        <v>34.799999999999997</v>
      </c>
      <c r="P18" s="14">
        <v>3</v>
      </c>
      <c r="Q18" s="15">
        <f t="shared" si="0"/>
        <v>9</v>
      </c>
    </row>
    <row r="19" spans="1:17" x14ac:dyDescent="0.25">
      <c r="A19" s="12">
        <v>14</v>
      </c>
      <c r="B19" s="12" t="s">
        <v>146</v>
      </c>
      <c r="C19" s="12" t="s">
        <v>6</v>
      </c>
      <c r="D19" s="13">
        <v>20.6</v>
      </c>
      <c r="E19" s="13">
        <v>15.3</v>
      </c>
      <c r="F19" s="13">
        <v>16.899999999999999</v>
      </c>
      <c r="G19" s="13">
        <f t="shared" si="1"/>
        <v>52.800000000000004</v>
      </c>
      <c r="H19" s="14">
        <v>3</v>
      </c>
      <c r="I19" s="13">
        <f>2.6+2.7+2.6+3.5+3.6+3.5</f>
        <v>18.5</v>
      </c>
      <c r="J19" s="13">
        <f>2.6+2.6+2.5+3.6+3.5+3.3</f>
        <v>18.100000000000001</v>
      </c>
      <c r="K19" s="13">
        <f t="shared" si="2"/>
        <v>36.6</v>
      </c>
      <c r="L19" s="14">
        <v>3</v>
      </c>
      <c r="M19" s="13">
        <f>2.5+2.5+2.5+3.2+3.2+3.4</f>
        <v>17.299999999999997</v>
      </c>
      <c r="N19" s="13">
        <f>2.6+2.2+2.2+3.5+3.2+3.1</f>
        <v>16.8</v>
      </c>
      <c r="O19" s="13">
        <f t="shared" si="3"/>
        <v>34.099999999999994</v>
      </c>
      <c r="P19" s="14">
        <v>3</v>
      </c>
      <c r="Q19" s="15">
        <f t="shared" si="0"/>
        <v>9</v>
      </c>
    </row>
    <row r="20" spans="1:17" ht="16.5" customHeight="1" x14ac:dyDescent="0.25">
      <c r="A20" s="12">
        <v>15</v>
      </c>
      <c r="B20" s="16" t="s">
        <v>369</v>
      </c>
      <c r="C20" s="12" t="s">
        <v>82</v>
      </c>
      <c r="D20" s="13"/>
      <c r="E20" s="13"/>
      <c r="F20" s="13"/>
      <c r="G20" s="13"/>
      <c r="H20" s="14"/>
      <c r="I20" s="13">
        <f>2.7+2.8+2.7+3.7+3.8+3.6</f>
        <v>19.3</v>
      </c>
      <c r="J20" s="13">
        <f>2.6+2.5+2.6+3.4+3.4+3.4</f>
        <v>17.899999999999999</v>
      </c>
      <c r="K20" s="13">
        <f t="shared" si="2"/>
        <v>37.200000000000003</v>
      </c>
      <c r="L20" s="14">
        <v>3</v>
      </c>
      <c r="M20" s="13">
        <f>2.5+2.5+2.6+3.5+3.6+3.6</f>
        <v>18.3</v>
      </c>
      <c r="N20" s="13">
        <f>2.7+2.5+2.5+3.8+3.4+3.6</f>
        <v>18.5</v>
      </c>
      <c r="O20" s="13">
        <f t="shared" si="3"/>
        <v>36.799999999999997</v>
      </c>
      <c r="P20" s="14">
        <v>3</v>
      </c>
      <c r="Q20" s="15">
        <f t="shared" si="0"/>
        <v>6</v>
      </c>
    </row>
    <row r="21" spans="1:17" x14ac:dyDescent="0.25">
      <c r="A21" s="12">
        <v>16</v>
      </c>
      <c r="B21" s="16" t="s">
        <v>376</v>
      </c>
      <c r="C21" s="12" t="s">
        <v>6</v>
      </c>
      <c r="D21" s="13"/>
      <c r="E21" s="13"/>
      <c r="F21" s="13"/>
      <c r="G21" s="13"/>
      <c r="H21" s="14"/>
      <c r="I21" s="13">
        <f>2.7+2.7+2.8+3.8+3.7+3.8</f>
        <v>19.5</v>
      </c>
      <c r="J21" s="13">
        <f>2.5+2.5+2.6+3.6+3.4+3.7</f>
        <v>18.3</v>
      </c>
      <c r="K21" s="13">
        <f t="shared" si="2"/>
        <v>37.799999999999997</v>
      </c>
      <c r="L21" s="14">
        <v>3</v>
      </c>
      <c r="M21" s="13">
        <f>2.5+2.5+2.5+3.6+3.6+3.6</f>
        <v>18.3</v>
      </c>
      <c r="N21" s="13">
        <f>2.6+2.4+2.5+3.7+3.4+3.5</f>
        <v>18.100000000000001</v>
      </c>
      <c r="O21" s="13">
        <f t="shared" si="3"/>
        <v>36.400000000000006</v>
      </c>
      <c r="P21" s="14">
        <v>3</v>
      </c>
      <c r="Q21" s="15">
        <f t="shared" si="0"/>
        <v>6</v>
      </c>
    </row>
    <row r="22" spans="1:17" x14ac:dyDescent="0.25">
      <c r="A22" s="12">
        <v>17</v>
      </c>
      <c r="B22" s="16" t="s">
        <v>370</v>
      </c>
      <c r="C22" s="12" t="s">
        <v>82</v>
      </c>
      <c r="D22" s="13"/>
      <c r="E22" s="13"/>
      <c r="F22" s="13"/>
      <c r="G22" s="13"/>
      <c r="H22" s="14"/>
      <c r="I22" s="13">
        <f>2.7+2.6+2.8+3.6+3.6+3.7</f>
        <v>19</v>
      </c>
      <c r="J22" s="13">
        <f>2.4+2.4+2.4+3.3+3.3+3.2</f>
        <v>17</v>
      </c>
      <c r="K22" s="13">
        <f t="shared" si="2"/>
        <v>36</v>
      </c>
      <c r="L22" s="14">
        <v>3</v>
      </c>
      <c r="M22" s="13">
        <f>2.6+2.5+2.5+3.6+3.5+3.4</f>
        <v>18.099999999999998</v>
      </c>
      <c r="N22" s="13">
        <f>2.6+2.4+2.5+3.8+3.3+3.4</f>
        <v>18</v>
      </c>
      <c r="O22" s="13">
        <f t="shared" si="3"/>
        <v>36.099999999999994</v>
      </c>
      <c r="P22" s="14">
        <v>3</v>
      </c>
      <c r="Q22" s="15">
        <f t="shared" si="0"/>
        <v>6</v>
      </c>
    </row>
    <row r="23" spans="1:17" x14ac:dyDescent="0.25">
      <c r="A23" s="12">
        <v>18</v>
      </c>
      <c r="B23" s="16" t="s">
        <v>378</v>
      </c>
      <c r="C23" s="12" t="s">
        <v>82</v>
      </c>
      <c r="D23" s="13"/>
      <c r="E23" s="13"/>
      <c r="F23" s="13"/>
      <c r="G23" s="13"/>
      <c r="H23" s="14"/>
      <c r="I23" s="13">
        <f>2.6+2.6+2.6+3.6+3.7+3.3</f>
        <v>18.400000000000002</v>
      </c>
      <c r="J23" s="13">
        <f>2.4+2.2+2.3+3.2+3.3+3.4</f>
        <v>16.799999999999997</v>
      </c>
      <c r="K23" s="13">
        <f t="shared" si="2"/>
        <v>35.200000000000003</v>
      </c>
      <c r="L23" s="14">
        <v>3</v>
      </c>
      <c r="M23" s="13">
        <f>2.5+2.5+2.5+3.5+3.5+3.4</f>
        <v>17.899999999999999</v>
      </c>
      <c r="N23" s="13">
        <f>2.5+2.4+2.4+3.6+3.4+3.5</f>
        <v>17.8</v>
      </c>
      <c r="O23" s="13">
        <f t="shared" si="3"/>
        <v>35.700000000000003</v>
      </c>
      <c r="P23" s="14">
        <v>3</v>
      </c>
      <c r="Q23" s="15">
        <f t="shared" si="0"/>
        <v>6</v>
      </c>
    </row>
    <row r="24" spans="1:17" ht="17.25" customHeight="1" x14ac:dyDescent="0.25">
      <c r="A24" s="12">
        <v>19</v>
      </c>
      <c r="B24" s="16" t="s">
        <v>371</v>
      </c>
      <c r="C24" s="12" t="s">
        <v>82</v>
      </c>
      <c r="D24" s="13"/>
      <c r="E24" s="13"/>
      <c r="F24" s="13"/>
      <c r="G24" s="13"/>
      <c r="H24" s="14"/>
      <c r="I24" s="13">
        <f>2.6+2.5+2.6+3.6+3.7+3.6</f>
        <v>18.600000000000001</v>
      </c>
      <c r="J24" s="13">
        <f>2.5+2.3+2.3+3.5+3.4+3.3</f>
        <v>17.3</v>
      </c>
      <c r="K24" s="13">
        <f t="shared" si="2"/>
        <v>35.900000000000006</v>
      </c>
      <c r="L24" s="14">
        <v>3</v>
      </c>
      <c r="M24" s="13">
        <f>2.4+2.4+2.5+3.4+3.4+3.6</f>
        <v>17.7</v>
      </c>
      <c r="N24" s="13">
        <f>2.6+2.4+2.3+3.6+3.2+3.3</f>
        <v>17.400000000000002</v>
      </c>
      <c r="O24" s="13">
        <f t="shared" si="3"/>
        <v>35.1</v>
      </c>
      <c r="P24" s="14">
        <v>3</v>
      </c>
      <c r="Q24" s="15">
        <f t="shared" si="0"/>
        <v>6</v>
      </c>
    </row>
    <row r="25" spans="1:17" x14ac:dyDescent="0.25">
      <c r="A25" s="12">
        <v>20</v>
      </c>
      <c r="B25" s="16" t="s">
        <v>374</v>
      </c>
      <c r="C25" s="12" t="s">
        <v>6</v>
      </c>
      <c r="D25" s="13"/>
      <c r="E25" s="13"/>
      <c r="F25" s="13"/>
      <c r="G25" s="13"/>
      <c r="H25" s="14"/>
      <c r="I25" s="13">
        <f>2.7+2.7+2.7+3.8+3.6+3.6</f>
        <v>19.100000000000001</v>
      </c>
      <c r="J25" s="13">
        <f>2.4+2.3+2.2+3.4+3.3+3.2</f>
        <v>16.799999999999997</v>
      </c>
      <c r="K25" s="13">
        <f t="shared" si="2"/>
        <v>35.9</v>
      </c>
      <c r="L25" s="14">
        <v>3</v>
      </c>
      <c r="M25" s="13">
        <f>2.4+2.5+2.5+3.3+3.3+3.2</f>
        <v>17.2</v>
      </c>
      <c r="N25" s="13">
        <f>2.3+2.3+2.3+3.2+3.3+3.3</f>
        <v>16.7</v>
      </c>
      <c r="O25" s="13">
        <f t="shared" si="3"/>
        <v>33.9</v>
      </c>
      <c r="P25" s="14">
        <v>3</v>
      </c>
      <c r="Q25" s="15">
        <f t="shared" si="0"/>
        <v>6</v>
      </c>
    </row>
    <row r="26" spans="1:17" x14ac:dyDescent="0.25">
      <c r="A26" s="12">
        <v>21</v>
      </c>
      <c r="B26" s="12" t="s">
        <v>143</v>
      </c>
      <c r="C26" s="12" t="s">
        <v>6</v>
      </c>
      <c r="D26" s="13">
        <v>22.5</v>
      </c>
      <c r="E26" s="13">
        <v>18.5</v>
      </c>
      <c r="F26" s="13">
        <v>17.5</v>
      </c>
      <c r="G26" s="13">
        <f>SUM(D26:F26)</f>
        <v>58.5</v>
      </c>
      <c r="H26" s="14">
        <v>3</v>
      </c>
      <c r="I26" s="13">
        <f>2.6+2.8+2.6+3.7+3.8+3.8</f>
        <v>19.3</v>
      </c>
      <c r="J26" s="13">
        <f>2.8+2.6+2.6+3.8+3.7+3.7</f>
        <v>19.2</v>
      </c>
      <c r="K26" s="13">
        <f t="shared" si="2"/>
        <v>38.5</v>
      </c>
      <c r="L26" s="14">
        <v>3</v>
      </c>
      <c r="M26" s="13"/>
      <c r="N26" s="13"/>
      <c r="O26" s="13"/>
      <c r="P26" s="14"/>
      <c r="Q26" s="15">
        <f t="shared" si="0"/>
        <v>6</v>
      </c>
    </row>
    <row r="27" spans="1:17" x14ac:dyDescent="0.25">
      <c r="A27" s="12">
        <v>22</v>
      </c>
      <c r="B27" s="12" t="s">
        <v>150</v>
      </c>
      <c r="C27" s="12" t="s">
        <v>9</v>
      </c>
      <c r="D27" s="13">
        <v>23</v>
      </c>
      <c r="E27" s="13">
        <v>17.5</v>
      </c>
      <c r="F27" s="13">
        <v>18.5</v>
      </c>
      <c r="G27" s="13">
        <f>SUM(D27:F27)</f>
        <v>59</v>
      </c>
      <c r="H27" s="14">
        <v>3</v>
      </c>
      <c r="I27" s="13">
        <f>2.6+2.6+2.6+3.6+3.7+3.6</f>
        <v>18.700000000000003</v>
      </c>
      <c r="J27" s="13">
        <f>2.5+2.5+2.5+3.6+3.4+3.4</f>
        <v>17.899999999999999</v>
      </c>
      <c r="K27" s="13">
        <f t="shared" si="2"/>
        <v>36.6</v>
      </c>
      <c r="L27" s="14">
        <v>3</v>
      </c>
      <c r="M27" s="13"/>
      <c r="N27" s="13"/>
      <c r="O27" s="13"/>
      <c r="P27" s="14"/>
      <c r="Q27" s="15">
        <f t="shared" si="0"/>
        <v>6</v>
      </c>
    </row>
    <row r="28" spans="1:17" x14ac:dyDescent="0.25">
      <c r="A28" s="12">
        <v>23</v>
      </c>
      <c r="B28" s="16" t="s">
        <v>665</v>
      </c>
      <c r="C28" s="12" t="s">
        <v>397</v>
      </c>
      <c r="D28" s="13"/>
      <c r="E28" s="13"/>
      <c r="F28" s="13"/>
      <c r="G28" s="13"/>
      <c r="H28" s="14"/>
      <c r="I28" s="13"/>
      <c r="J28" s="13"/>
      <c r="K28" s="13"/>
      <c r="L28" s="14"/>
      <c r="M28" s="13">
        <f>2.6+2.5+2.5+3.8+3.6+3.6</f>
        <v>18.599999999999998</v>
      </c>
      <c r="N28" s="13">
        <f>2.6+2.4+2.4+3.6+3.3+3.5</f>
        <v>17.8</v>
      </c>
      <c r="O28" s="13">
        <f t="shared" ref="O28:O37" si="4">M28+N28</f>
        <v>36.4</v>
      </c>
      <c r="P28" s="14">
        <v>3</v>
      </c>
      <c r="Q28" s="15">
        <f t="shared" si="0"/>
        <v>3</v>
      </c>
    </row>
    <row r="29" spans="1:17" x14ac:dyDescent="0.25">
      <c r="A29" s="12">
        <v>24</v>
      </c>
      <c r="B29" s="16" t="s">
        <v>659</v>
      </c>
      <c r="C29" s="12" t="s">
        <v>660</v>
      </c>
      <c r="D29" s="13"/>
      <c r="E29" s="13"/>
      <c r="F29" s="13"/>
      <c r="G29" s="13"/>
      <c r="H29" s="14"/>
      <c r="I29" s="13"/>
      <c r="J29" s="13"/>
      <c r="K29" s="13"/>
      <c r="L29" s="14"/>
      <c r="M29" s="13">
        <f>2.6+2.5+2.6+3.5+3.8+3.6</f>
        <v>18.600000000000001</v>
      </c>
      <c r="N29" s="13">
        <f>2.5+2.3+2.4+3.5+3.3+3.4</f>
        <v>17.399999999999999</v>
      </c>
      <c r="O29" s="13">
        <f t="shared" si="4"/>
        <v>36</v>
      </c>
      <c r="P29" s="14">
        <v>3</v>
      </c>
      <c r="Q29" s="15">
        <f t="shared" si="0"/>
        <v>3</v>
      </c>
    </row>
    <row r="30" spans="1:17" x14ac:dyDescent="0.25">
      <c r="A30" s="12">
        <v>25</v>
      </c>
      <c r="B30" s="16" t="s">
        <v>655</v>
      </c>
      <c r="C30" s="12" t="s">
        <v>656</v>
      </c>
      <c r="D30" s="13"/>
      <c r="E30" s="13"/>
      <c r="F30" s="13"/>
      <c r="G30" s="13"/>
      <c r="H30" s="14"/>
      <c r="I30" s="13"/>
      <c r="J30" s="13"/>
      <c r="K30" s="13"/>
      <c r="L30" s="14"/>
      <c r="M30" s="13">
        <f>2.5+2.5+2.5+3.4+3.7+3.6</f>
        <v>18.200000000000003</v>
      </c>
      <c r="N30" s="13">
        <f>2.4+2.4+2.4+3.3+3.4+3.5</f>
        <v>17.399999999999999</v>
      </c>
      <c r="O30" s="13">
        <f t="shared" si="4"/>
        <v>35.6</v>
      </c>
      <c r="P30" s="14">
        <v>3</v>
      </c>
      <c r="Q30" s="15">
        <f t="shared" si="0"/>
        <v>3</v>
      </c>
    </row>
    <row r="31" spans="1:17" x14ac:dyDescent="0.25">
      <c r="A31" s="12">
        <v>26</v>
      </c>
      <c r="B31" s="16" t="s">
        <v>658</v>
      </c>
      <c r="C31" s="12" t="s">
        <v>7</v>
      </c>
      <c r="D31" s="13"/>
      <c r="E31" s="13"/>
      <c r="F31" s="13"/>
      <c r="G31" s="13"/>
      <c r="H31" s="14"/>
      <c r="I31" s="13"/>
      <c r="J31" s="13"/>
      <c r="K31" s="13"/>
      <c r="L31" s="14"/>
      <c r="M31" s="13">
        <f>2.6+2.5+2.4+3.5+3.5+3.3</f>
        <v>17.8</v>
      </c>
      <c r="N31" s="13">
        <f>2.5+2.5+2.4+3.5+3.5+3.3</f>
        <v>17.7</v>
      </c>
      <c r="O31" s="13">
        <f t="shared" si="4"/>
        <v>35.5</v>
      </c>
      <c r="P31" s="14">
        <v>3</v>
      </c>
      <c r="Q31" s="15">
        <f t="shared" si="0"/>
        <v>3</v>
      </c>
    </row>
    <row r="32" spans="1:17" x14ac:dyDescent="0.25">
      <c r="A32" s="12">
        <v>27</v>
      </c>
      <c r="B32" s="16" t="s">
        <v>661</v>
      </c>
      <c r="C32" s="12" t="s">
        <v>660</v>
      </c>
      <c r="D32" s="13"/>
      <c r="E32" s="13"/>
      <c r="F32" s="13"/>
      <c r="G32" s="13"/>
      <c r="H32" s="14"/>
      <c r="I32" s="13"/>
      <c r="J32" s="13"/>
      <c r="K32" s="13"/>
      <c r="L32" s="14"/>
      <c r="M32" s="13">
        <f>2.5+2.5+2.6+3.4+3.7+3.6</f>
        <v>18.3</v>
      </c>
      <c r="N32" s="13">
        <f>2.1+2.4+2.5+3.1+3.5+3.3</f>
        <v>16.899999999999999</v>
      </c>
      <c r="O32" s="13">
        <f t="shared" si="4"/>
        <v>35.200000000000003</v>
      </c>
      <c r="P32" s="14">
        <v>3</v>
      </c>
      <c r="Q32" s="15">
        <f t="shared" si="0"/>
        <v>3</v>
      </c>
    </row>
    <row r="33" spans="1:17" x14ac:dyDescent="0.25">
      <c r="A33" s="12">
        <v>28</v>
      </c>
      <c r="B33" s="16" t="s">
        <v>662</v>
      </c>
      <c r="C33" s="12" t="s">
        <v>663</v>
      </c>
      <c r="D33" s="13"/>
      <c r="E33" s="13"/>
      <c r="F33" s="13"/>
      <c r="G33" s="13"/>
      <c r="H33" s="14"/>
      <c r="I33" s="13"/>
      <c r="J33" s="13"/>
      <c r="K33" s="13"/>
      <c r="L33" s="14"/>
      <c r="M33" s="13">
        <f>2.5+2.5+2.4+3.3+3.4+3.4</f>
        <v>17.5</v>
      </c>
      <c r="N33" s="13">
        <f>2.6+2.3+2.2+3.6+3.3+3.3</f>
        <v>17.3</v>
      </c>
      <c r="O33" s="13">
        <f t="shared" si="4"/>
        <v>34.799999999999997</v>
      </c>
      <c r="P33" s="14">
        <v>3</v>
      </c>
      <c r="Q33" s="15">
        <f t="shared" si="0"/>
        <v>3</v>
      </c>
    </row>
    <row r="34" spans="1:17" x14ac:dyDescent="0.25">
      <c r="A34" s="12">
        <v>29</v>
      </c>
      <c r="B34" s="16" t="s">
        <v>380</v>
      </c>
      <c r="C34" s="12" t="s">
        <v>7</v>
      </c>
      <c r="D34" s="13"/>
      <c r="E34" s="13"/>
      <c r="F34" s="13"/>
      <c r="G34" s="13"/>
      <c r="H34" s="14"/>
      <c r="I34" s="13"/>
      <c r="J34" s="13"/>
      <c r="K34" s="13"/>
      <c r="L34" s="14"/>
      <c r="M34" s="13">
        <f>2.5+2.5+2.3+3.6+3.3+3.3</f>
        <v>17.5</v>
      </c>
      <c r="N34" s="13">
        <f>2.3+2.2+2.3+3.2+3.1+3.3</f>
        <v>16.399999999999999</v>
      </c>
      <c r="O34" s="13">
        <f t="shared" si="4"/>
        <v>33.9</v>
      </c>
      <c r="P34" s="14">
        <v>3</v>
      </c>
      <c r="Q34" s="15">
        <f t="shared" si="0"/>
        <v>3</v>
      </c>
    </row>
    <row r="35" spans="1:17" x14ac:dyDescent="0.25">
      <c r="A35" s="12">
        <v>30</v>
      </c>
      <c r="B35" s="16" t="s">
        <v>664</v>
      </c>
      <c r="C35" s="12" t="s">
        <v>6</v>
      </c>
      <c r="D35" s="13"/>
      <c r="E35" s="13"/>
      <c r="F35" s="13"/>
      <c r="G35" s="13"/>
      <c r="H35" s="14"/>
      <c r="I35" s="13"/>
      <c r="J35" s="13"/>
      <c r="K35" s="13"/>
      <c r="L35" s="14"/>
      <c r="M35" s="13">
        <f>2.4+2.5+2.4+3.2+3+3.1</f>
        <v>16.600000000000001</v>
      </c>
      <c r="N35" s="13">
        <f>2.4+2.2+2.3+3.4+3.1+3.1</f>
        <v>16.5</v>
      </c>
      <c r="O35" s="13">
        <f t="shared" si="4"/>
        <v>33.1</v>
      </c>
      <c r="P35" s="14">
        <v>3</v>
      </c>
      <c r="Q35" s="15">
        <f t="shared" si="0"/>
        <v>3</v>
      </c>
    </row>
    <row r="36" spans="1:17" x14ac:dyDescent="0.25">
      <c r="A36" s="12">
        <v>31</v>
      </c>
      <c r="B36" s="16" t="s">
        <v>666</v>
      </c>
      <c r="C36" s="12" t="s">
        <v>304</v>
      </c>
      <c r="D36" s="13"/>
      <c r="E36" s="13"/>
      <c r="F36" s="13"/>
      <c r="G36" s="13"/>
      <c r="H36" s="14"/>
      <c r="I36" s="13"/>
      <c r="J36" s="13"/>
      <c r="K36" s="13"/>
      <c r="L36" s="14"/>
      <c r="M36" s="13">
        <f>2.3+2.2+2.4+3.2+3.3+3.4</f>
        <v>16.8</v>
      </c>
      <c r="N36" s="13">
        <f>2.2+2.3+2.3+3+3.2+3.2</f>
        <v>16.2</v>
      </c>
      <c r="O36" s="13">
        <f t="shared" si="4"/>
        <v>33</v>
      </c>
      <c r="P36" s="14">
        <v>3</v>
      </c>
      <c r="Q36" s="15">
        <f t="shared" si="0"/>
        <v>3</v>
      </c>
    </row>
    <row r="37" spans="1:17" x14ac:dyDescent="0.25">
      <c r="A37" s="12">
        <v>32</v>
      </c>
      <c r="B37" s="16" t="s">
        <v>657</v>
      </c>
      <c r="C37" s="12" t="s">
        <v>656</v>
      </c>
      <c r="D37" s="13"/>
      <c r="E37" s="13"/>
      <c r="F37" s="13"/>
      <c r="G37" s="13"/>
      <c r="H37" s="14"/>
      <c r="I37" s="13"/>
      <c r="J37" s="13"/>
      <c r="K37" s="13"/>
      <c r="L37" s="14"/>
      <c r="M37" s="13">
        <f>2.2+2+2.3+3.1+3+3.1</f>
        <v>15.7</v>
      </c>
      <c r="N37" s="13">
        <f>1.5+2.2+2.1+2.9+3.1+3.1</f>
        <v>14.9</v>
      </c>
      <c r="O37" s="13">
        <f t="shared" si="4"/>
        <v>30.6</v>
      </c>
      <c r="P37" s="14">
        <v>3</v>
      </c>
      <c r="Q37" s="15">
        <f t="shared" si="0"/>
        <v>3</v>
      </c>
    </row>
    <row r="38" spans="1:17" x14ac:dyDescent="0.25">
      <c r="A38" s="12">
        <v>33</v>
      </c>
      <c r="B38" s="16" t="s">
        <v>372</v>
      </c>
      <c r="C38" s="12" t="s">
        <v>9</v>
      </c>
      <c r="D38" s="13"/>
      <c r="E38" s="13"/>
      <c r="F38" s="13"/>
      <c r="G38" s="13"/>
      <c r="H38" s="14"/>
      <c r="I38" s="13">
        <f>2.7+2.8+2.7+3.7+4+3.7</f>
        <v>19.599999999999998</v>
      </c>
      <c r="J38" s="13">
        <f>2.9+2.6+2.7+3.9+3.5+3.7</f>
        <v>19.3</v>
      </c>
      <c r="K38" s="13">
        <f>SUM(I38:J38)</f>
        <v>38.9</v>
      </c>
      <c r="L38" s="14">
        <v>3</v>
      </c>
      <c r="M38" s="13"/>
      <c r="N38" s="13"/>
      <c r="O38" s="13"/>
      <c r="P38" s="14"/>
      <c r="Q38" s="15">
        <f t="shared" si="0"/>
        <v>3</v>
      </c>
    </row>
    <row r="39" spans="1:17" x14ac:dyDescent="0.25">
      <c r="A39" s="12">
        <v>34</v>
      </c>
      <c r="B39" s="16" t="s">
        <v>375</v>
      </c>
      <c r="C39" s="12" t="s">
        <v>6</v>
      </c>
      <c r="D39" s="13"/>
      <c r="E39" s="13"/>
      <c r="F39" s="13"/>
      <c r="G39" s="13"/>
      <c r="H39" s="14"/>
      <c r="I39" s="13">
        <f>2.5+2.5+2.6+3.6+3.6+3.6</f>
        <v>18.399999999999999</v>
      </c>
      <c r="J39" s="13">
        <f>2.2+2.1+2.1+3.3+3.2+3.1</f>
        <v>15.999999999999998</v>
      </c>
      <c r="K39" s="13">
        <f>SUM(I39:J39)</f>
        <v>34.4</v>
      </c>
      <c r="L39" s="14">
        <v>3</v>
      </c>
      <c r="M39" s="13"/>
      <c r="N39" s="13"/>
      <c r="O39" s="13"/>
      <c r="P39" s="14"/>
      <c r="Q39" s="15">
        <f t="shared" si="0"/>
        <v>3</v>
      </c>
    </row>
    <row r="40" spans="1:17" x14ac:dyDescent="0.25">
      <c r="A40" s="12">
        <v>35</v>
      </c>
      <c r="B40" s="12" t="s">
        <v>149</v>
      </c>
      <c r="C40" s="12" t="s">
        <v>9</v>
      </c>
      <c r="D40" s="13">
        <v>23.1</v>
      </c>
      <c r="E40" s="13">
        <v>17.7</v>
      </c>
      <c r="F40" s="13">
        <v>17.899999999999999</v>
      </c>
      <c r="G40" s="13">
        <f>SUM(D40:F40)</f>
        <v>58.699999999999996</v>
      </c>
      <c r="H40" s="14">
        <v>3</v>
      </c>
      <c r="I40" s="13"/>
      <c r="J40" s="13"/>
      <c r="K40" s="13"/>
      <c r="L40" s="14"/>
      <c r="M40" s="13"/>
      <c r="N40" s="13"/>
      <c r="O40" s="13"/>
      <c r="P40" s="14"/>
      <c r="Q40" s="15">
        <f t="shared" si="0"/>
        <v>3</v>
      </c>
    </row>
    <row r="41" spans="1:17" x14ac:dyDescent="0.25">
      <c r="A41" s="12">
        <v>36</v>
      </c>
      <c r="B41" s="12" t="s">
        <v>156</v>
      </c>
      <c r="C41" s="12" t="s">
        <v>29</v>
      </c>
      <c r="D41" s="13">
        <v>22.9</v>
      </c>
      <c r="E41" s="13">
        <v>15.2</v>
      </c>
      <c r="F41" s="13">
        <v>19.399999999999999</v>
      </c>
      <c r="G41" s="13">
        <f>SUM(D41:F41)</f>
        <v>57.499999999999993</v>
      </c>
      <c r="H41" s="14">
        <v>3</v>
      </c>
      <c r="I41" s="13"/>
      <c r="J41" s="13"/>
      <c r="K41" s="13"/>
      <c r="L41" s="14"/>
      <c r="M41" s="13"/>
      <c r="N41" s="13"/>
      <c r="O41" s="13"/>
      <c r="P41" s="14"/>
      <c r="Q41" s="15">
        <f t="shared" si="0"/>
        <v>3</v>
      </c>
    </row>
    <row r="42" spans="1:17" ht="30" x14ac:dyDescent="0.25">
      <c r="A42" s="12">
        <v>37</v>
      </c>
      <c r="B42" s="16" t="s">
        <v>373</v>
      </c>
      <c r="C42" s="12" t="s">
        <v>26</v>
      </c>
      <c r="D42" s="13"/>
      <c r="E42" s="13"/>
      <c r="F42" s="13"/>
      <c r="G42" s="13"/>
      <c r="H42" s="14"/>
      <c r="I42" s="13"/>
      <c r="J42" s="13"/>
      <c r="K42" s="13"/>
      <c r="L42" s="14"/>
      <c r="M42" s="13"/>
      <c r="N42" s="13"/>
      <c r="O42" s="13"/>
      <c r="P42" s="14"/>
      <c r="Q42" s="15">
        <f t="shared" si="0"/>
        <v>0</v>
      </c>
    </row>
    <row r="43" spans="1:17" x14ac:dyDescent="0.25">
      <c r="A43" s="12">
        <v>38</v>
      </c>
      <c r="B43" s="16" t="s">
        <v>377</v>
      </c>
      <c r="C43" s="12" t="s">
        <v>6</v>
      </c>
      <c r="D43" s="13"/>
      <c r="E43" s="13"/>
      <c r="F43" s="13"/>
      <c r="G43" s="13"/>
      <c r="H43" s="14"/>
      <c r="I43" s="13"/>
      <c r="J43" s="13"/>
      <c r="K43" s="13"/>
      <c r="L43" s="14"/>
      <c r="M43" s="13"/>
      <c r="N43" s="13"/>
      <c r="O43" s="13"/>
      <c r="P43" s="14"/>
      <c r="Q43" s="15">
        <f t="shared" si="0"/>
        <v>0</v>
      </c>
    </row>
    <row r="44" spans="1:17" x14ac:dyDescent="0.25">
      <c r="A44" s="12">
        <v>39</v>
      </c>
      <c r="B44" s="16" t="s">
        <v>379</v>
      </c>
      <c r="C44" s="12" t="s">
        <v>15</v>
      </c>
      <c r="D44" s="13"/>
      <c r="E44" s="13"/>
      <c r="F44" s="13"/>
      <c r="G44" s="13"/>
      <c r="H44" s="14"/>
      <c r="I44" s="13"/>
      <c r="J44" s="13"/>
      <c r="K44" s="13"/>
      <c r="L44" s="14"/>
      <c r="M44" s="13"/>
      <c r="N44" s="13"/>
      <c r="O44" s="13"/>
      <c r="P44" s="14"/>
      <c r="Q44" s="15"/>
    </row>
  </sheetData>
  <sortState ref="A2:Q41">
    <sortCondition descending="1" ref="Q2:Q41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26" style="4" customWidth="1"/>
    <col min="4" max="4" width="7.5703125" style="4" customWidth="1"/>
    <col min="5" max="5" width="6.7109375" style="4" customWidth="1"/>
    <col min="6" max="6" width="6" style="4" customWidth="1"/>
    <col min="7" max="7" width="11.42578125" style="4"/>
    <col min="8" max="8" width="18.28515625" style="4" customWidth="1"/>
    <col min="9" max="9" width="6.28515625" style="4" customWidth="1"/>
    <col min="10" max="10" width="6" style="4" customWidth="1"/>
    <col min="11" max="11" width="11.42578125" style="4"/>
    <col min="12" max="12" width="18.42578125" style="4" customWidth="1"/>
    <col min="13" max="13" width="6.7109375" style="4" customWidth="1"/>
    <col min="14" max="14" width="6.28515625" style="4" customWidth="1"/>
    <col min="15" max="15" width="11.42578125" style="4"/>
    <col min="16" max="16" width="18.5703125" style="4" customWidth="1"/>
    <col min="17" max="17" width="24.5703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181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94</v>
      </c>
      <c r="C6" s="12" t="s">
        <v>95</v>
      </c>
      <c r="D6" s="13">
        <v>24.8</v>
      </c>
      <c r="E6" s="13">
        <v>19.399999999999999</v>
      </c>
      <c r="F6" s="13">
        <v>20.399999999999999</v>
      </c>
      <c r="G6" s="13">
        <f t="shared" ref="G6:G13" si="0">SUM(D6:F6)</f>
        <v>64.599999999999994</v>
      </c>
      <c r="H6" s="14">
        <v>13</v>
      </c>
      <c r="I6" s="13">
        <f>2.6+2.7+3.2+4.5+4.5+4.4</f>
        <v>21.9</v>
      </c>
      <c r="J6" s="13">
        <f>2.7+2.7+2.7+4.7+4.8+4.6</f>
        <v>22.200000000000003</v>
      </c>
      <c r="K6" s="13">
        <f>SUM(I6:J6)</f>
        <v>44.1</v>
      </c>
      <c r="L6" s="14">
        <v>23</v>
      </c>
      <c r="M6" s="13">
        <f>2.7+2.7+2.7+3.7+3.8+3.7</f>
        <v>19.3</v>
      </c>
      <c r="N6" s="13">
        <f>2.7+2.9+2.9+3.8+4.1+3.8</f>
        <v>20.2</v>
      </c>
      <c r="O6" s="13">
        <f>M6+N6</f>
        <v>39.5</v>
      </c>
      <c r="P6" s="14">
        <v>23</v>
      </c>
      <c r="Q6" s="15">
        <f t="shared" ref="Q6:Q33" si="1">H6+L6+P6</f>
        <v>59</v>
      </c>
    </row>
    <row r="7" spans="1:17" x14ac:dyDescent="0.25">
      <c r="A7" s="12">
        <v>2</v>
      </c>
      <c r="B7" s="12" t="s">
        <v>86</v>
      </c>
      <c r="C7" s="12" t="s">
        <v>9</v>
      </c>
      <c r="D7" s="13">
        <v>25</v>
      </c>
      <c r="E7" s="13">
        <v>21.3</v>
      </c>
      <c r="F7" s="13">
        <v>20.9</v>
      </c>
      <c r="G7" s="13">
        <f t="shared" si="0"/>
        <v>67.199999999999989</v>
      </c>
      <c r="H7" s="14">
        <v>18</v>
      </c>
      <c r="I7" s="13">
        <f>2.5+2.4+3.1+4.6+4.2+4.3</f>
        <v>21.1</v>
      </c>
      <c r="J7" s="13">
        <f>2.5+2.5+2.3+4.7+4.6+4.5</f>
        <v>21.1</v>
      </c>
      <c r="K7" s="13">
        <f>SUM(I7:J7)</f>
        <v>42.2</v>
      </c>
      <c r="L7" s="14">
        <v>18</v>
      </c>
      <c r="M7" s="13">
        <f>2.7+2.6+2.7+3.7+3.7+3.7</f>
        <v>19.099999999999998</v>
      </c>
      <c r="N7" s="13">
        <f>2.8+2.7+2.7+3.9+3.8+3.7</f>
        <v>19.599999999999998</v>
      </c>
      <c r="O7" s="13">
        <f>M7+N7</f>
        <v>38.699999999999996</v>
      </c>
      <c r="P7" s="14">
        <v>18</v>
      </c>
      <c r="Q7" s="15">
        <f t="shared" si="1"/>
        <v>54</v>
      </c>
    </row>
    <row r="8" spans="1:17" x14ac:dyDescent="0.25">
      <c r="A8" s="12">
        <v>3</v>
      </c>
      <c r="B8" s="12" t="s">
        <v>689</v>
      </c>
      <c r="C8" s="12" t="s">
        <v>9</v>
      </c>
      <c r="D8" s="13">
        <v>24.7</v>
      </c>
      <c r="E8" s="13">
        <v>20.399999999999999</v>
      </c>
      <c r="F8" s="13">
        <v>19.600000000000001</v>
      </c>
      <c r="G8" s="13">
        <f t="shared" si="0"/>
        <v>64.699999999999989</v>
      </c>
      <c r="H8" s="14">
        <v>13</v>
      </c>
      <c r="I8" s="13">
        <f>2.3+2.5+3.6+4.4+4.4+4.2</f>
        <v>21.400000000000002</v>
      </c>
      <c r="J8" s="13">
        <f>2.4+2.4+2.4+4.5+4.5+4.4</f>
        <v>20.6</v>
      </c>
      <c r="K8" s="13">
        <f>SUM(I8:J8)</f>
        <v>42</v>
      </c>
      <c r="L8" s="14">
        <v>13</v>
      </c>
      <c r="M8" s="13">
        <f>2.6+2.6+2.6+3.5+3.6+3.6</f>
        <v>18.5</v>
      </c>
      <c r="N8" s="13">
        <f>2.6+2.4+2.4+3.8+3.6+3.5</f>
        <v>18.299999999999997</v>
      </c>
      <c r="O8" s="13">
        <f>M8+N8</f>
        <v>36.799999999999997</v>
      </c>
      <c r="P8" s="14">
        <v>13</v>
      </c>
      <c r="Q8" s="15">
        <f t="shared" si="1"/>
        <v>39</v>
      </c>
    </row>
    <row r="9" spans="1:17" x14ac:dyDescent="0.25">
      <c r="A9" s="12">
        <v>4</v>
      </c>
      <c r="B9" s="12" t="s">
        <v>83</v>
      </c>
      <c r="C9" s="12" t="s">
        <v>26</v>
      </c>
      <c r="D9" s="13">
        <v>24.2</v>
      </c>
      <c r="E9" s="13">
        <v>14.8</v>
      </c>
      <c r="F9" s="13">
        <v>16</v>
      </c>
      <c r="G9" s="13">
        <f t="shared" si="0"/>
        <v>55</v>
      </c>
      <c r="H9" s="14">
        <v>3</v>
      </c>
      <c r="I9" s="13">
        <f>2.6+2.7+2.8+4.5+4.5+4.3</f>
        <v>21.400000000000002</v>
      </c>
      <c r="J9" s="13">
        <f>2.3+2.4+2.4+4.4+4.3+4.4</f>
        <v>20.200000000000003</v>
      </c>
      <c r="K9" s="13">
        <f>SUM(I9:J9)</f>
        <v>41.600000000000009</v>
      </c>
      <c r="L9" s="14">
        <v>13</v>
      </c>
      <c r="M9" s="13">
        <f>2.8+2.7+2.6+3.8+3.7+3.7</f>
        <v>19.299999999999997</v>
      </c>
      <c r="N9" s="13">
        <f>2.5+2.7+2.6+3.6+3.7+3.6</f>
        <v>18.700000000000003</v>
      </c>
      <c r="O9" s="13">
        <f>M9+N9</f>
        <v>38</v>
      </c>
      <c r="P9" s="14">
        <v>13</v>
      </c>
      <c r="Q9" s="15">
        <f t="shared" si="1"/>
        <v>29</v>
      </c>
    </row>
    <row r="10" spans="1:17" x14ac:dyDescent="0.25">
      <c r="A10" s="12">
        <v>5</v>
      </c>
      <c r="B10" s="12" t="s">
        <v>85</v>
      </c>
      <c r="C10" s="12" t="s">
        <v>7</v>
      </c>
      <c r="D10" s="13">
        <v>26</v>
      </c>
      <c r="E10" s="13">
        <v>21.4</v>
      </c>
      <c r="F10" s="13">
        <v>21.6</v>
      </c>
      <c r="G10" s="13">
        <f t="shared" si="0"/>
        <v>69</v>
      </c>
      <c r="H10" s="14">
        <v>23</v>
      </c>
      <c r="I10" s="13"/>
      <c r="J10" s="13"/>
      <c r="K10" s="13"/>
      <c r="L10" s="14"/>
      <c r="M10" s="13"/>
      <c r="N10" s="13"/>
      <c r="O10" s="13"/>
      <c r="P10" s="14"/>
      <c r="Q10" s="15">
        <f t="shared" si="1"/>
        <v>23</v>
      </c>
    </row>
    <row r="11" spans="1:17" x14ac:dyDescent="0.25">
      <c r="A11" s="12">
        <v>6</v>
      </c>
      <c r="B11" s="12" t="s">
        <v>89</v>
      </c>
      <c r="C11" s="12" t="s">
        <v>5</v>
      </c>
      <c r="D11" s="13">
        <v>25</v>
      </c>
      <c r="E11" s="13">
        <v>19.5</v>
      </c>
      <c r="F11" s="13">
        <v>18.899999999999999</v>
      </c>
      <c r="G11" s="13">
        <f t="shared" si="0"/>
        <v>63.4</v>
      </c>
      <c r="H11" s="14">
        <v>3</v>
      </c>
      <c r="I11" s="13">
        <f>2.4+2.3+2.6+4.3+4.1+4.3</f>
        <v>19.999999999999996</v>
      </c>
      <c r="J11" s="13">
        <f>2.3+2.3+2.4+4.3+4.2+4.4</f>
        <v>19.899999999999999</v>
      </c>
      <c r="K11" s="13">
        <f t="shared" ref="K11:K18" si="2">SUM(I11:J11)</f>
        <v>39.899999999999991</v>
      </c>
      <c r="L11" s="14">
        <v>3</v>
      </c>
      <c r="M11" s="13">
        <f>2.5+2.5+2.5+3.5+3.5+3.5</f>
        <v>18</v>
      </c>
      <c r="N11" s="13">
        <f>2.5+2.4+2.5+3.6+3.5+3.3</f>
        <v>17.8</v>
      </c>
      <c r="O11" s="13">
        <f t="shared" ref="O11:O26" si="3">M11+N11</f>
        <v>35.799999999999997</v>
      </c>
      <c r="P11" s="14">
        <v>3</v>
      </c>
      <c r="Q11" s="15">
        <f t="shared" si="1"/>
        <v>9</v>
      </c>
    </row>
    <row r="12" spans="1:17" x14ac:dyDescent="0.25">
      <c r="A12" s="12">
        <v>7</v>
      </c>
      <c r="B12" s="12" t="s">
        <v>88</v>
      </c>
      <c r="C12" s="12" t="s">
        <v>5</v>
      </c>
      <c r="D12" s="13">
        <v>24.2</v>
      </c>
      <c r="E12" s="13">
        <v>18.3</v>
      </c>
      <c r="F12" s="13">
        <v>18</v>
      </c>
      <c r="G12" s="13">
        <f t="shared" si="0"/>
        <v>60.5</v>
      </c>
      <c r="H12" s="14">
        <v>3</v>
      </c>
      <c r="I12" s="13">
        <f>2.2+2.2+2.4+4.2+4+4.2</f>
        <v>19.2</v>
      </c>
      <c r="J12" s="13">
        <f>2.2+2.2+2.3+4.3+4.2+4.2</f>
        <v>19.399999999999999</v>
      </c>
      <c r="K12" s="13">
        <f t="shared" si="2"/>
        <v>38.599999999999994</v>
      </c>
      <c r="L12" s="14">
        <v>3</v>
      </c>
      <c r="M12" s="13">
        <f>2.5+2.5+2.4+3.6+3.6+3.5</f>
        <v>18.100000000000001</v>
      </c>
      <c r="N12" s="13">
        <f>2.4+2.4+2.5+3.4+3.5+3.5</f>
        <v>17.7</v>
      </c>
      <c r="O12" s="13">
        <f t="shared" si="3"/>
        <v>35.799999999999997</v>
      </c>
      <c r="P12" s="14">
        <v>3</v>
      </c>
      <c r="Q12" s="15">
        <f t="shared" si="1"/>
        <v>9</v>
      </c>
    </row>
    <row r="13" spans="1:17" x14ac:dyDescent="0.25">
      <c r="A13" s="12">
        <v>8</v>
      </c>
      <c r="B13" s="12" t="s">
        <v>93</v>
      </c>
      <c r="C13" s="12" t="s">
        <v>91</v>
      </c>
      <c r="D13" s="13">
        <v>23</v>
      </c>
      <c r="E13" s="13">
        <v>17.399999999999999</v>
      </c>
      <c r="F13" s="13">
        <v>17.5</v>
      </c>
      <c r="G13" s="13">
        <f t="shared" si="0"/>
        <v>57.9</v>
      </c>
      <c r="H13" s="14">
        <v>3</v>
      </c>
      <c r="I13" s="13">
        <f>2.5+2.4+2.5+4.5+4+4</f>
        <v>19.899999999999999</v>
      </c>
      <c r="J13" s="13">
        <f>2.4+2.5+2.4+4.4+4.5+4.3</f>
        <v>20.500000000000004</v>
      </c>
      <c r="K13" s="13">
        <f t="shared" si="2"/>
        <v>40.400000000000006</v>
      </c>
      <c r="L13" s="14">
        <v>3</v>
      </c>
      <c r="M13" s="13">
        <f>2.5+2.5+2.5+3.5+3.5+3.6</f>
        <v>18.100000000000001</v>
      </c>
      <c r="N13" s="13">
        <f>2.4+2.3+2.3+3.3+3.3+3.2</f>
        <v>16.799999999999997</v>
      </c>
      <c r="O13" s="13">
        <f t="shared" si="3"/>
        <v>34.9</v>
      </c>
      <c r="P13" s="14">
        <v>3</v>
      </c>
      <c r="Q13" s="15">
        <f t="shared" si="1"/>
        <v>9</v>
      </c>
    </row>
    <row r="14" spans="1:17" x14ac:dyDescent="0.25">
      <c r="A14" s="12">
        <v>9</v>
      </c>
      <c r="B14" s="16" t="s">
        <v>434</v>
      </c>
      <c r="C14" s="12" t="s">
        <v>311</v>
      </c>
      <c r="D14" s="13"/>
      <c r="E14" s="13"/>
      <c r="F14" s="13"/>
      <c r="G14" s="13"/>
      <c r="H14" s="14"/>
      <c r="I14" s="13">
        <f>2.5+2.4+2.6+4.5+4+4.2</f>
        <v>20.2</v>
      </c>
      <c r="J14" s="13">
        <f>2.3+2.3+2.3+4.2+4.1+4.3</f>
        <v>19.5</v>
      </c>
      <c r="K14" s="13">
        <f t="shared" si="2"/>
        <v>39.700000000000003</v>
      </c>
      <c r="L14" s="14">
        <v>3</v>
      </c>
      <c r="M14" s="13">
        <f>2.5+2.5+2.6+3.6+3.6+3.6</f>
        <v>18.399999999999999</v>
      </c>
      <c r="N14" s="13">
        <f>2.5+2.6+2.3+3.6+3.4+3.4</f>
        <v>17.8</v>
      </c>
      <c r="O14" s="13">
        <f t="shared" si="3"/>
        <v>36.200000000000003</v>
      </c>
      <c r="P14" s="14">
        <v>3</v>
      </c>
      <c r="Q14" s="15">
        <f t="shared" si="1"/>
        <v>6</v>
      </c>
    </row>
    <row r="15" spans="1:17" x14ac:dyDescent="0.25">
      <c r="A15" s="12">
        <v>10</v>
      </c>
      <c r="B15" s="16" t="s">
        <v>432</v>
      </c>
      <c r="C15" s="12" t="s">
        <v>431</v>
      </c>
      <c r="D15" s="13"/>
      <c r="E15" s="13"/>
      <c r="F15" s="13"/>
      <c r="G15" s="13"/>
      <c r="H15" s="14"/>
      <c r="I15" s="13">
        <f>2.4+2.3+2.4+4.3+3.7+3.8</f>
        <v>18.899999999999999</v>
      </c>
      <c r="J15" s="13">
        <f>2.2+2.2+2.2+4.1+4.1+4.2</f>
        <v>19</v>
      </c>
      <c r="K15" s="13">
        <f t="shared" si="2"/>
        <v>37.9</v>
      </c>
      <c r="L15" s="14">
        <v>3</v>
      </c>
      <c r="M15" s="13">
        <f>2.6+2.4+2.5+3.5+3.5+3.5</f>
        <v>18</v>
      </c>
      <c r="N15" s="13">
        <f>2.4+2.6+2.5+3.4+3.5+3.5</f>
        <v>17.899999999999999</v>
      </c>
      <c r="O15" s="13">
        <f t="shared" si="3"/>
        <v>35.9</v>
      </c>
      <c r="P15" s="14">
        <v>3</v>
      </c>
      <c r="Q15" s="15">
        <f t="shared" si="1"/>
        <v>6</v>
      </c>
    </row>
    <row r="16" spans="1:17" x14ac:dyDescent="0.25">
      <c r="A16" s="12">
        <v>11</v>
      </c>
      <c r="B16" s="16" t="s">
        <v>440</v>
      </c>
      <c r="C16" s="12" t="s">
        <v>82</v>
      </c>
      <c r="D16" s="13"/>
      <c r="E16" s="13"/>
      <c r="F16" s="13"/>
      <c r="G16" s="13"/>
      <c r="H16" s="14"/>
      <c r="I16" s="13">
        <f>2.3+2.4+2.2+4.3+3.9+3.8</f>
        <v>18.899999999999999</v>
      </c>
      <c r="J16" s="13">
        <f>2.1+2.1+2.2+4.1+4+4.2</f>
        <v>18.7</v>
      </c>
      <c r="K16" s="13">
        <f t="shared" si="2"/>
        <v>37.599999999999994</v>
      </c>
      <c r="L16" s="14">
        <v>3</v>
      </c>
      <c r="M16" s="13">
        <f>2.6+2.7+2.7+3.6+3.7+3.6</f>
        <v>18.900000000000002</v>
      </c>
      <c r="N16" s="13">
        <f>2.2+2.4+2.2+3.3+3.5+3.2</f>
        <v>16.8</v>
      </c>
      <c r="O16" s="13">
        <f t="shared" si="3"/>
        <v>35.700000000000003</v>
      </c>
      <c r="P16" s="14">
        <v>3</v>
      </c>
      <c r="Q16" s="15">
        <f t="shared" si="1"/>
        <v>6</v>
      </c>
    </row>
    <row r="17" spans="1:17" x14ac:dyDescent="0.25">
      <c r="A17" s="12">
        <v>12</v>
      </c>
      <c r="B17" s="16" t="s">
        <v>430</v>
      </c>
      <c r="C17" s="12" t="s">
        <v>431</v>
      </c>
      <c r="D17" s="13"/>
      <c r="E17" s="13"/>
      <c r="F17" s="13"/>
      <c r="G17" s="13"/>
      <c r="H17" s="14"/>
      <c r="I17" s="13">
        <f>2.4+2.4+2.5+4.4+4+4</f>
        <v>19.7</v>
      </c>
      <c r="J17" s="13">
        <f>2.3+2.3+2.4+4.1+4.3+4.3</f>
        <v>19.7</v>
      </c>
      <c r="K17" s="13">
        <f t="shared" si="2"/>
        <v>39.4</v>
      </c>
      <c r="L17" s="14">
        <v>3</v>
      </c>
      <c r="M17" s="13">
        <f>2.5+2.5+2.4+3.6+3.6+3.5</f>
        <v>18.100000000000001</v>
      </c>
      <c r="N17" s="13">
        <f>2.5+2.4+2.4+3.5+3.4+3.3</f>
        <v>17.5</v>
      </c>
      <c r="O17" s="13">
        <f t="shared" si="3"/>
        <v>35.6</v>
      </c>
      <c r="P17" s="14">
        <v>3</v>
      </c>
      <c r="Q17" s="15">
        <f t="shared" si="1"/>
        <v>6</v>
      </c>
    </row>
    <row r="18" spans="1:17" x14ac:dyDescent="0.25">
      <c r="A18" s="12">
        <v>13</v>
      </c>
      <c r="B18" s="16" t="s">
        <v>441</v>
      </c>
      <c r="C18" s="12" t="s">
        <v>82</v>
      </c>
      <c r="D18" s="13"/>
      <c r="E18" s="13"/>
      <c r="F18" s="13"/>
      <c r="G18" s="13"/>
      <c r="H18" s="14"/>
      <c r="I18" s="13">
        <f>2.6+2.5+2.7+4.4+4.3+4.3</f>
        <v>20.8</v>
      </c>
      <c r="J18" s="13">
        <f>2.3+2.2+2.2+4.5+4.3+4.3</f>
        <v>19.8</v>
      </c>
      <c r="K18" s="13">
        <f t="shared" si="2"/>
        <v>40.6</v>
      </c>
      <c r="L18" s="14">
        <v>3</v>
      </c>
      <c r="M18" s="13">
        <f>2.4+2.4+2.4+3.4+3.6+3.6</f>
        <v>17.8</v>
      </c>
      <c r="N18" s="13">
        <f>2.5+2.2+2.5+3.5+3.4+3.5</f>
        <v>17.600000000000001</v>
      </c>
      <c r="O18" s="13">
        <f t="shared" si="3"/>
        <v>35.400000000000006</v>
      </c>
      <c r="P18" s="14">
        <v>3</v>
      </c>
      <c r="Q18" s="15">
        <f t="shared" si="1"/>
        <v>6</v>
      </c>
    </row>
    <row r="19" spans="1:17" x14ac:dyDescent="0.25">
      <c r="A19" s="12">
        <v>14</v>
      </c>
      <c r="B19" s="12" t="s">
        <v>84</v>
      </c>
      <c r="C19" s="12" t="s">
        <v>7</v>
      </c>
      <c r="D19" s="13">
        <v>22.9</v>
      </c>
      <c r="E19" s="13">
        <v>14.9</v>
      </c>
      <c r="F19" s="13">
        <v>16.100000000000001</v>
      </c>
      <c r="G19" s="13">
        <f>SUM(D19:F19)</f>
        <v>53.9</v>
      </c>
      <c r="H19" s="14">
        <v>3</v>
      </c>
      <c r="I19" s="13"/>
      <c r="J19" s="13"/>
      <c r="K19" s="13"/>
      <c r="L19" s="14"/>
      <c r="M19" s="13">
        <f>2.4+2.4+2.4+3.4+3.4+3.4</f>
        <v>17.399999999999999</v>
      </c>
      <c r="N19" s="13">
        <f>2.7+2.2+2.3+3.8+3.5+3.2</f>
        <v>17.7</v>
      </c>
      <c r="O19" s="13">
        <f t="shared" si="3"/>
        <v>35.099999999999994</v>
      </c>
      <c r="P19" s="14">
        <v>3</v>
      </c>
      <c r="Q19" s="15">
        <f t="shared" si="1"/>
        <v>6</v>
      </c>
    </row>
    <row r="20" spans="1:17" x14ac:dyDescent="0.25">
      <c r="A20" s="12">
        <v>15</v>
      </c>
      <c r="B20" s="16" t="s">
        <v>433</v>
      </c>
      <c r="C20" s="12" t="s">
        <v>431</v>
      </c>
      <c r="D20" s="13"/>
      <c r="E20" s="13"/>
      <c r="F20" s="13"/>
      <c r="G20" s="13"/>
      <c r="H20" s="14"/>
      <c r="I20" s="13">
        <f>2.3+2.3+2.4+4.4+4+3.8</f>
        <v>19.2</v>
      </c>
      <c r="J20" s="13">
        <f>2.2+2.2+2.3+4.3+4.1+4.2</f>
        <v>19.3</v>
      </c>
      <c r="K20" s="13">
        <f>SUM(I20:J20)</f>
        <v>38.5</v>
      </c>
      <c r="L20" s="14">
        <v>3</v>
      </c>
      <c r="M20" s="13">
        <f>2.5+2.5+2.4+3.5+3.5+3.4</f>
        <v>17.8</v>
      </c>
      <c r="N20" s="13">
        <f>2.3+2.3+2.3+3.2+3.4+3.3</f>
        <v>16.8</v>
      </c>
      <c r="O20" s="13">
        <f t="shared" si="3"/>
        <v>34.6</v>
      </c>
      <c r="P20" s="14">
        <v>3</v>
      </c>
      <c r="Q20" s="15">
        <f t="shared" si="1"/>
        <v>6</v>
      </c>
    </row>
    <row r="21" spans="1:17" x14ac:dyDescent="0.25">
      <c r="A21" s="12">
        <v>16</v>
      </c>
      <c r="B21" s="16" t="s">
        <v>436</v>
      </c>
      <c r="C21" s="12" t="s">
        <v>437</v>
      </c>
      <c r="D21" s="13"/>
      <c r="E21" s="13"/>
      <c r="F21" s="13"/>
      <c r="G21" s="13"/>
      <c r="H21" s="14"/>
      <c r="I21" s="13">
        <f>2.3+2.3+2.4+4.4+4+4.1</f>
        <v>19.5</v>
      </c>
      <c r="J21" s="13">
        <f>2.1+2+2.2+4+4+4.1</f>
        <v>18.399999999999999</v>
      </c>
      <c r="K21" s="13">
        <f>SUM(I21:J21)</f>
        <v>37.9</v>
      </c>
      <c r="L21" s="14">
        <v>3</v>
      </c>
      <c r="M21" s="13">
        <f>2.4+2.4+2.4+3.5+3.4+3.5</f>
        <v>17.600000000000001</v>
      </c>
      <c r="N21" s="13">
        <f>2.2+2.2+2.3+3.4+3.4+3.4</f>
        <v>16.899999999999999</v>
      </c>
      <c r="O21" s="13">
        <f t="shared" si="3"/>
        <v>34.5</v>
      </c>
      <c r="P21" s="14">
        <v>3</v>
      </c>
      <c r="Q21" s="15">
        <f t="shared" si="1"/>
        <v>6</v>
      </c>
    </row>
    <row r="22" spans="1:17" x14ac:dyDescent="0.25">
      <c r="A22" s="12">
        <v>17</v>
      </c>
      <c r="B22" s="16" t="s">
        <v>438</v>
      </c>
      <c r="C22" s="12" t="s">
        <v>437</v>
      </c>
      <c r="D22" s="13"/>
      <c r="E22" s="13"/>
      <c r="F22" s="13"/>
      <c r="G22" s="13"/>
      <c r="H22" s="14"/>
      <c r="I22" s="13">
        <f>2.2+2.3+2.4+4.4+4+4.1</f>
        <v>19.399999999999999</v>
      </c>
      <c r="J22" s="13">
        <f>2.2+2.1+2.1+4.2+4+4.1</f>
        <v>18.700000000000003</v>
      </c>
      <c r="K22" s="13">
        <f>SUM(I22:J22)</f>
        <v>38.1</v>
      </c>
      <c r="L22" s="14">
        <v>3</v>
      </c>
      <c r="M22" s="13">
        <f>2.5+2.4+2.4+3.5+3.5+3.4</f>
        <v>17.7</v>
      </c>
      <c r="N22" s="13">
        <f>2.3+2.3+2.3+3.2+3.3+3.3</f>
        <v>16.7</v>
      </c>
      <c r="O22" s="13">
        <f t="shared" si="3"/>
        <v>34.4</v>
      </c>
      <c r="P22" s="14">
        <v>3</v>
      </c>
      <c r="Q22" s="15">
        <f t="shared" si="1"/>
        <v>6</v>
      </c>
    </row>
    <row r="23" spans="1:17" x14ac:dyDescent="0.25">
      <c r="A23" s="12">
        <v>18</v>
      </c>
      <c r="B23" s="16" t="s">
        <v>429</v>
      </c>
      <c r="C23" s="12" t="s">
        <v>82</v>
      </c>
      <c r="D23" s="13"/>
      <c r="E23" s="13"/>
      <c r="F23" s="13"/>
      <c r="G23" s="13"/>
      <c r="H23" s="14"/>
      <c r="I23" s="13">
        <f>2.3+2.3+2.2+4.3+3.9+3.3</f>
        <v>18.3</v>
      </c>
      <c r="J23" s="13">
        <f>1.9+1.9+1.9+3.9+3.8+3.9</f>
        <v>17.299999999999997</v>
      </c>
      <c r="K23" s="13">
        <f>SUM(I23:J23)</f>
        <v>35.599999999999994</v>
      </c>
      <c r="L23" s="14">
        <v>3</v>
      </c>
      <c r="M23" s="13">
        <f>2.4+2.4+2.4+3.4+3.4+3.4</f>
        <v>17.399999999999999</v>
      </c>
      <c r="N23" s="13">
        <f>2.4+2.3+2.3+3.4+3.3+3.2</f>
        <v>16.899999999999999</v>
      </c>
      <c r="O23" s="13">
        <f t="shared" si="3"/>
        <v>34.299999999999997</v>
      </c>
      <c r="P23" s="14">
        <v>3</v>
      </c>
      <c r="Q23" s="15">
        <f t="shared" si="1"/>
        <v>6</v>
      </c>
    </row>
    <row r="24" spans="1:17" x14ac:dyDescent="0.25">
      <c r="A24" s="12">
        <v>19</v>
      </c>
      <c r="B24" s="16" t="s">
        <v>685</v>
      </c>
      <c r="C24" s="12" t="s">
        <v>7</v>
      </c>
      <c r="D24" s="13"/>
      <c r="E24" s="13"/>
      <c r="F24" s="13"/>
      <c r="G24" s="13"/>
      <c r="H24" s="14"/>
      <c r="I24" s="13"/>
      <c r="J24" s="13"/>
      <c r="K24" s="13"/>
      <c r="L24" s="14"/>
      <c r="M24" s="13">
        <f>2.5+2.5+2.6+3.6+3.6+3.6</f>
        <v>18.399999999999999</v>
      </c>
      <c r="N24" s="13">
        <f>2.6+2.5+2.4+3.7+3.4+3.4</f>
        <v>18</v>
      </c>
      <c r="O24" s="13">
        <f t="shared" si="3"/>
        <v>36.4</v>
      </c>
      <c r="P24" s="14">
        <v>3</v>
      </c>
      <c r="Q24" s="15">
        <f t="shared" si="1"/>
        <v>3</v>
      </c>
    </row>
    <row r="25" spans="1:17" x14ac:dyDescent="0.25">
      <c r="A25" s="12">
        <v>20</v>
      </c>
      <c r="B25" s="16" t="s">
        <v>687</v>
      </c>
      <c r="C25" s="12" t="s">
        <v>688</v>
      </c>
      <c r="D25" s="13"/>
      <c r="E25" s="13"/>
      <c r="F25" s="13"/>
      <c r="G25" s="13"/>
      <c r="H25" s="14"/>
      <c r="I25" s="13"/>
      <c r="J25" s="13"/>
      <c r="K25" s="13"/>
      <c r="L25" s="14"/>
      <c r="M25" s="13">
        <f>2.6+2.5+2.6+3.5+3.6+3.7</f>
        <v>18.5</v>
      </c>
      <c r="N25" s="13">
        <f>2.4+2.1+2.4+3.3+3.3+3.4</f>
        <v>16.899999999999999</v>
      </c>
      <c r="O25" s="13">
        <f t="shared" si="3"/>
        <v>35.4</v>
      </c>
      <c r="P25" s="14">
        <v>3</v>
      </c>
      <c r="Q25" s="15">
        <f t="shared" si="1"/>
        <v>3</v>
      </c>
    </row>
    <row r="26" spans="1:17" x14ac:dyDescent="0.25">
      <c r="A26" s="12">
        <v>21</v>
      </c>
      <c r="B26" s="16" t="s">
        <v>686</v>
      </c>
      <c r="C26" s="12" t="s">
        <v>660</v>
      </c>
      <c r="D26" s="13"/>
      <c r="E26" s="13"/>
      <c r="F26" s="13"/>
      <c r="G26" s="13"/>
      <c r="H26" s="14"/>
      <c r="I26" s="13"/>
      <c r="J26" s="13"/>
      <c r="K26" s="13"/>
      <c r="L26" s="14"/>
      <c r="M26" s="13">
        <f>2.6+2.5+2.6+3.6+3.6+3.6</f>
        <v>18.5</v>
      </c>
      <c r="N26" s="13">
        <f>2.3+2.2+2.2+3.3+3.5+3.2</f>
        <v>16.7</v>
      </c>
      <c r="O26" s="13">
        <f t="shared" si="3"/>
        <v>35.200000000000003</v>
      </c>
      <c r="P26" s="14">
        <v>3</v>
      </c>
      <c r="Q26" s="15">
        <f t="shared" si="1"/>
        <v>3</v>
      </c>
    </row>
    <row r="27" spans="1:17" x14ac:dyDescent="0.25">
      <c r="A27" s="12">
        <v>22</v>
      </c>
      <c r="B27" s="16" t="s">
        <v>435</v>
      </c>
      <c r="C27" s="12" t="s">
        <v>311</v>
      </c>
      <c r="D27" s="13"/>
      <c r="E27" s="13"/>
      <c r="F27" s="13"/>
      <c r="G27" s="13"/>
      <c r="H27" s="14"/>
      <c r="I27" s="13">
        <f>2.4+2.4+2.4+4.4+4.1+3.6</f>
        <v>19.3</v>
      </c>
      <c r="J27" s="13">
        <f>2.3+2.3+2.4+4.5+4.2+4.4</f>
        <v>20.100000000000001</v>
      </c>
      <c r="K27" s="13">
        <f>SUM(I27:J27)</f>
        <v>39.400000000000006</v>
      </c>
      <c r="L27" s="14">
        <v>3</v>
      </c>
      <c r="M27" s="13"/>
      <c r="N27" s="13"/>
      <c r="O27" s="13"/>
      <c r="P27" s="14"/>
      <c r="Q27" s="15">
        <f t="shared" si="1"/>
        <v>3</v>
      </c>
    </row>
    <row r="28" spans="1:17" x14ac:dyDescent="0.25">
      <c r="A28" s="12">
        <v>23</v>
      </c>
      <c r="B28" s="16" t="s">
        <v>446</v>
      </c>
      <c r="C28" s="12" t="s">
        <v>12</v>
      </c>
      <c r="D28" s="13"/>
      <c r="E28" s="13"/>
      <c r="F28" s="13"/>
      <c r="G28" s="13"/>
      <c r="H28" s="14"/>
      <c r="I28" s="13">
        <f>2.5+2.5+2.6+4.3+4.2+4</f>
        <v>20.099999999999998</v>
      </c>
      <c r="J28" s="13">
        <f>2.2+2.2+2.2+4.3+4.2+4.1</f>
        <v>19.200000000000003</v>
      </c>
      <c r="K28" s="13">
        <f>SUM(I28:J28)</f>
        <v>39.299999999999997</v>
      </c>
      <c r="L28" s="14">
        <v>3</v>
      </c>
      <c r="M28" s="13"/>
      <c r="N28" s="13"/>
      <c r="O28" s="13"/>
      <c r="P28" s="14"/>
      <c r="Q28" s="15">
        <f t="shared" si="1"/>
        <v>3</v>
      </c>
    </row>
    <row r="29" spans="1:17" x14ac:dyDescent="0.25">
      <c r="A29" s="12">
        <v>24</v>
      </c>
      <c r="B29" s="16" t="s">
        <v>442</v>
      </c>
      <c r="C29" s="12" t="s">
        <v>67</v>
      </c>
      <c r="D29" s="13"/>
      <c r="E29" s="13"/>
      <c r="F29" s="13"/>
      <c r="G29" s="13"/>
      <c r="H29" s="14"/>
      <c r="I29" s="13">
        <f>2.3+2.2+2.6+4.3+4+4.2</f>
        <v>19.599999999999998</v>
      </c>
      <c r="J29" s="13">
        <f>2.2+2.2+2.2+4.2+4.1+4.2</f>
        <v>19.100000000000001</v>
      </c>
      <c r="K29" s="13">
        <f>SUM(I29:J29)</f>
        <v>38.700000000000003</v>
      </c>
      <c r="L29" s="14">
        <v>3</v>
      </c>
      <c r="M29" s="13"/>
      <c r="N29" s="13"/>
      <c r="O29" s="13"/>
      <c r="P29" s="14"/>
      <c r="Q29" s="15">
        <f t="shared" si="1"/>
        <v>3</v>
      </c>
    </row>
    <row r="30" spans="1:17" x14ac:dyDescent="0.25">
      <c r="A30" s="12">
        <v>25</v>
      </c>
      <c r="B30" s="12" t="s">
        <v>648</v>
      </c>
      <c r="C30" s="12" t="s">
        <v>57</v>
      </c>
      <c r="D30" s="13">
        <v>24.7</v>
      </c>
      <c r="E30" s="13">
        <v>19</v>
      </c>
      <c r="F30" s="13">
        <v>19</v>
      </c>
      <c r="G30" s="13">
        <f>SUM(D30:F30)</f>
        <v>62.7</v>
      </c>
      <c r="H30" s="14">
        <v>3</v>
      </c>
      <c r="I30" s="13"/>
      <c r="J30" s="13"/>
      <c r="K30" s="13"/>
      <c r="L30" s="14"/>
      <c r="M30" s="13"/>
      <c r="N30" s="13"/>
      <c r="O30" s="13"/>
      <c r="P30" s="14"/>
      <c r="Q30" s="15">
        <f t="shared" si="1"/>
        <v>3</v>
      </c>
    </row>
    <row r="31" spans="1:17" x14ac:dyDescent="0.25">
      <c r="A31" s="12">
        <v>26</v>
      </c>
      <c r="B31" s="12" t="s">
        <v>87</v>
      </c>
      <c r="C31" s="12" t="s">
        <v>9</v>
      </c>
      <c r="D31" s="13">
        <v>25.2</v>
      </c>
      <c r="E31" s="13">
        <v>17</v>
      </c>
      <c r="F31" s="13">
        <v>20.3</v>
      </c>
      <c r="G31" s="13">
        <f>SUM(D31:F31)</f>
        <v>62.5</v>
      </c>
      <c r="H31" s="14">
        <v>3</v>
      </c>
      <c r="I31" s="13"/>
      <c r="J31" s="13"/>
      <c r="K31" s="13"/>
      <c r="L31" s="14"/>
      <c r="M31" s="13"/>
      <c r="N31" s="13"/>
      <c r="O31" s="13"/>
      <c r="P31" s="14"/>
      <c r="Q31" s="15">
        <f t="shared" si="1"/>
        <v>3</v>
      </c>
    </row>
    <row r="32" spans="1:17" x14ac:dyDescent="0.25">
      <c r="A32" s="12">
        <v>27</v>
      </c>
      <c r="B32" s="12" t="s">
        <v>90</v>
      </c>
      <c r="C32" s="12" t="s">
        <v>91</v>
      </c>
      <c r="D32" s="13">
        <v>22.4</v>
      </c>
      <c r="E32" s="13">
        <v>17.3</v>
      </c>
      <c r="F32" s="13">
        <v>17.100000000000001</v>
      </c>
      <c r="G32" s="13">
        <f>SUM(D32:F32)</f>
        <v>56.800000000000004</v>
      </c>
      <c r="H32" s="14">
        <v>3</v>
      </c>
      <c r="I32" s="13"/>
      <c r="J32" s="13"/>
      <c r="K32" s="13"/>
      <c r="L32" s="14"/>
      <c r="M32" s="13"/>
      <c r="N32" s="13"/>
      <c r="O32" s="13"/>
      <c r="P32" s="14"/>
      <c r="Q32" s="15">
        <f t="shared" si="1"/>
        <v>3</v>
      </c>
    </row>
    <row r="33" spans="1:17" x14ac:dyDescent="0.25">
      <c r="A33" s="12">
        <v>28</v>
      </c>
      <c r="B33" s="12" t="s">
        <v>92</v>
      </c>
      <c r="C33" s="12" t="s">
        <v>91</v>
      </c>
      <c r="D33" s="13">
        <v>23.2</v>
      </c>
      <c r="E33" s="13">
        <v>15.9</v>
      </c>
      <c r="F33" s="13">
        <v>17.3</v>
      </c>
      <c r="G33" s="13">
        <f>SUM(D33:F33)</f>
        <v>56.400000000000006</v>
      </c>
      <c r="H33" s="14">
        <v>3</v>
      </c>
      <c r="I33" s="13"/>
      <c r="J33" s="13"/>
      <c r="K33" s="13"/>
      <c r="L33" s="14"/>
      <c r="M33" s="13"/>
      <c r="N33" s="13"/>
      <c r="O33" s="13"/>
      <c r="P33" s="14"/>
      <c r="Q33" s="15">
        <f t="shared" si="1"/>
        <v>3</v>
      </c>
    </row>
    <row r="34" spans="1:17" x14ac:dyDescent="0.25">
      <c r="A34" s="12">
        <v>29</v>
      </c>
      <c r="B34" s="16" t="s">
        <v>424</v>
      </c>
      <c r="C34" s="12" t="s">
        <v>384</v>
      </c>
      <c r="D34" s="13"/>
      <c r="E34" s="13"/>
      <c r="F34" s="13"/>
      <c r="G34" s="13"/>
      <c r="H34" s="14"/>
      <c r="I34" s="13"/>
      <c r="J34" s="13"/>
      <c r="K34" s="13"/>
      <c r="L34" s="14"/>
      <c r="M34" s="13"/>
      <c r="N34" s="13"/>
      <c r="O34" s="13"/>
      <c r="P34" s="14"/>
      <c r="Q34" s="15"/>
    </row>
    <row r="35" spans="1:17" x14ac:dyDescent="0.25">
      <c r="A35" s="12">
        <v>30</v>
      </c>
      <c r="B35" s="16" t="s">
        <v>425</v>
      </c>
      <c r="C35" s="12" t="s">
        <v>426</v>
      </c>
      <c r="D35" s="13"/>
      <c r="E35" s="13"/>
      <c r="F35" s="13"/>
      <c r="G35" s="13"/>
      <c r="H35" s="14"/>
      <c r="I35" s="13"/>
      <c r="J35" s="13"/>
      <c r="K35" s="13"/>
      <c r="L35" s="14"/>
      <c r="M35" s="13"/>
      <c r="N35" s="13"/>
      <c r="O35" s="13"/>
      <c r="P35" s="14"/>
      <c r="Q35" s="15"/>
    </row>
    <row r="36" spans="1:17" x14ac:dyDescent="0.25">
      <c r="A36" s="12">
        <v>31</v>
      </c>
      <c r="B36" s="16" t="s">
        <v>427</v>
      </c>
      <c r="C36" s="12" t="s">
        <v>426</v>
      </c>
      <c r="D36" s="13"/>
      <c r="E36" s="13"/>
      <c r="F36" s="13"/>
      <c r="G36" s="13"/>
      <c r="H36" s="14"/>
      <c r="I36" s="13"/>
      <c r="J36" s="13"/>
      <c r="K36" s="13"/>
      <c r="L36" s="14"/>
      <c r="M36" s="13"/>
      <c r="N36" s="13"/>
      <c r="O36" s="13"/>
      <c r="P36" s="14"/>
      <c r="Q36" s="15"/>
    </row>
    <row r="37" spans="1:17" x14ac:dyDescent="0.25">
      <c r="A37" s="12">
        <v>32</v>
      </c>
      <c r="B37" s="16" t="s">
        <v>428</v>
      </c>
      <c r="C37" s="12" t="s">
        <v>384</v>
      </c>
      <c r="D37" s="13"/>
      <c r="E37" s="13"/>
      <c r="F37" s="13"/>
      <c r="G37" s="13"/>
      <c r="H37" s="14"/>
      <c r="I37" s="13"/>
      <c r="J37" s="13"/>
      <c r="K37" s="13"/>
      <c r="L37" s="14"/>
      <c r="M37" s="13"/>
      <c r="N37" s="13"/>
      <c r="O37" s="13"/>
      <c r="P37" s="14"/>
      <c r="Q37" s="15"/>
    </row>
    <row r="38" spans="1:17" x14ac:dyDescent="0.25">
      <c r="A38" s="12">
        <v>33</v>
      </c>
      <c r="B38" s="16" t="s">
        <v>439</v>
      </c>
      <c r="C38" s="12" t="s">
        <v>437</v>
      </c>
      <c r="D38" s="13"/>
      <c r="E38" s="13"/>
      <c r="F38" s="13"/>
      <c r="G38" s="13"/>
      <c r="H38" s="14"/>
      <c r="I38" s="13"/>
      <c r="J38" s="13"/>
      <c r="K38" s="13"/>
      <c r="L38" s="14"/>
      <c r="M38" s="13"/>
      <c r="N38" s="13"/>
      <c r="O38" s="13"/>
      <c r="P38" s="14"/>
      <c r="Q38" s="15"/>
    </row>
    <row r="39" spans="1:17" x14ac:dyDescent="0.25">
      <c r="A39" s="12">
        <v>34</v>
      </c>
      <c r="B39" s="16" t="s">
        <v>443</v>
      </c>
      <c r="C39" s="12" t="s">
        <v>444</v>
      </c>
      <c r="D39" s="13"/>
      <c r="E39" s="13"/>
      <c r="F39" s="13"/>
      <c r="G39" s="13"/>
      <c r="H39" s="14"/>
      <c r="I39" s="13"/>
      <c r="J39" s="13"/>
      <c r="K39" s="13"/>
      <c r="L39" s="14"/>
      <c r="M39" s="13"/>
      <c r="N39" s="13"/>
      <c r="O39" s="13"/>
      <c r="P39" s="14"/>
      <c r="Q39" s="15"/>
    </row>
    <row r="40" spans="1:17" x14ac:dyDescent="0.25">
      <c r="A40" s="12">
        <v>35</v>
      </c>
      <c r="B40" s="16" t="s">
        <v>445</v>
      </c>
      <c r="C40" s="12" t="s">
        <v>82</v>
      </c>
      <c r="D40" s="13"/>
      <c r="E40" s="13"/>
      <c r="F40" s="13"/>
      <c r="G40" s="13"/>
      <c r="H40" s="14"/>
      <c r="I40" s="13"/>
      <c r="J40" s="13"/>
      <c r="K40" s="13"/>
      <c r="L40" s="14"/>
      <c r="M40" s="13"/>
      <c r="N40" s="13"/>
      <c r="O40" s="13"/>
      <c r="P40" s="14"/>
      <c r="Q40" s="15"/>
    </row>
    <row r="41" spans="1:17" x14ac:dyDescent="0.25">
      <c r="A41" s="12">
        <v>36</v>
      </c>
      <c r="B41" s="16" t="s">
        <v>690</v>
      </c>
      <c r="C41" s="12" t="s">
        <v>670</v>
      </c>
      <c r="D41" s="13"/>
      <c r="E41" s="13"/>
      <c r="F41" s="13"/>
      <c r="G41" s="13"/>
      <c r="H41" s="14"/>
      <c r="I41" s="13"/>
      <c r="J41" s="13"/>
      <c r="K41" s="13"/>
      <c r="L41" s="14"/>
      <c r="M41" s="13"/>
      <c r="N41" s="13"/>
      <c r="O41" s="13"/>
      <c r="P41" s="14"/>
      <c r="Q41" s="15"/>
    </row>
  </sheetData>
  <sortState ref="B4:Q39">
    <sortCondition descending="1" ref="Q4:Q39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25.140625" style="4" customWidth="1"/>
    <col min="4" max="4" width="5.85546875" style="4" customWidth="1"/>
    <col min="5" max="5" width="6.42578125" style="4" customWidth="1"/>
    <col min="6" max="6" width="5.7109375" style="4" customWidth="1"/>
    <col min="7" max="7" width="12.7109375" style="4" customWidth="1"/>
    <col min="8" max="8" width="17.85546875" style="4" customWidth="1"/>
    <col min="9" max="9" width="6.42578125" style="4" customWidth="1"/>
    <col min="10" max="10" width="6.85546875" style="4" customWidth="1"/>
    <col min="11" max="11" width="11.42578125" style="4"/>
    <col min="12" max="12" width="17.7109375" style="4" customWidth="1"/>
    <col min="13" max="13" width="6.42578125" style="4" customWidth="1"/>
    <col min="14" max="14" width="6.85546875" style="4" customWidth="1"/>
    <col min="15" max="15" width="11.42578125" style="4"/>
    <col min="16" max="16" width="18.28515625" style="4" customWidth="1"/>
    <col min="17" max="17" width="23.42578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184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68</v>
      </c>
      <c r="C6" s="12" t="s">
        <v>69</v>
      </c>
      <c r="D6" s="13">
        <v>25.2</v>
      </c>
      <c r="E6" s="13">
        <v>22.7</v>
      </c>
      <c r="F6" s="13">
        <v>21.9</v>
      </c>
      <c r="G6" s="13">
        <f>SUM(D6:F6)</f>
        <v>69.8</v>
      </c>
      <c r="H6" s="14">
        <v>23</v>
      </c>
      <c r="I6" s="13">
        <f>2.9+3+3.4+4.7+4.6+4.7</f>
        <v>23.3</v>
      </c>
      <c r="J6" s="13">
        <f>2.8+2.8+2.8+4.9+4.9+4.8</f>
        <v>23</v>
      </c>
      <c r="K6" s="13">
        <f t="shared" ref="K6:K20" si="0">SUM(I6:J6)</f>
        <v>46.3</v>
      </c>
      <c r="L6" s="14">
        <v>23</v>
      </c>
      <c r="M6" s="13">
        <f>2.8+2.8+2.8+3.7+3.8+3.8</f>
        <v>19.7</v>
      </c>
      <c r="N6" s="13">
        <f>3+3.2+3.3+4.3+4.2+3.9</f>
        <v>21.9</v>
      </c>
      <c r="O6" s="13">
        <f>M6+N6</f>
        <v>41.599999999999994</v>
      </c>
      <c r="P6" s="14">
        <v>23</v>
      </c>
      <c r="Q6" s="15">
        <f t="shared" ref="Q6:Q46" si="1">H6+L6+P6</f>
        <v>69</v>
      </c>
    </row>
    <row r="7" spans="1:17" x14ac:dyDescent="0.25">
      <c r="A7" s="12">
        <v>2</v>
      </c>
      <c r="B7" s="12" t="s">
        <v>74</v>
      </c>
      <c r="C7" s="12" t="s">
        <v>6</v>
      </c>
      <c r="D7" s="13">
        <v>25.4</v>
      </c>
      <c r="E7" s="13">
        <v>22.3</v>
      </c>
      <c r="F7" s="13">
        <v>20.399999999999999</v>
      </c>
      <c r="G7" s="13">
        <f>SUM(D7:F7)</f>
        <v>68.099999999999994</v>
      </c>
      <c r="H7" s="14">
        <v>18</v>
      </c>
      <c r="I7" s="13">
        <f>2.3+3.2+3.6+4.6+4.6+4.5</f>
        <v>22.799999999999997</v>
      </c>
      <c r="J7" s="13">
        <f>2.4+2.4+2.5+4.4+4.3+4.5</f>
        <v>20.5</v>
      </c>
      <c r="K7" s="13">
        <f t="shared" si="0"/>
        <v>43.3</v>
      </c>
      <c r="L7" s="14">
        <v>18</v>
      </c>
      <c r="M7" s="13">
        <f>2.8+2.8+2.7+3.8+3.8+3.8</f>
        <v>19.700000000000003</v>
      </c>
      <c r="N7" s="13">
        <f>2.8+2.6+2.8+3.8+3.7+3.7</f>
        <v>19.399999999999999</v>
      </c>
      <c r="O7" s="13">
        <f>M7+N7</f>
        <v>39.1</v>
      </c>
      <c r="P7" s="14">
        <v>18</v>
      </c>
      <c r="Q7" s="15">
        <f t="shared" si="1"/>
        <v>54</v>
      </c>
    </row>
    <row r="8" spans="1:17" x14ac:dyDescent="0.25">
      <c r="A8" s="12">
        <v>3</v>
      </c>
      <c r="B8" s="12" t="s">
        <v>77</v>
      </c>
      <c r="C8" s="12" t="s">
        <v>6</v>
      </c>
      <c r="D8" s="13">
        <v>25.5</v>
      </c>
      <c r="E8" s="13">
        <v>20.2</v>
      </c>
      <c r="F8" s="13">
        <v>22.1</v>
      </c>
      <c r="G8" s="13">
        <f>SUM(D8:F8)</f>
        <v>67.800000000000011</v>
      </c>
      <c r="H8" s="14">
        <v>13</v>
      </c>
      <c r="I8" s="13">
        <f>2.3+2.3+2.3+4.3+4.1+3.9</f>
        <v>19.2</v>
      </c>
      <c r="J8" s="13">
        <f>2.5+2.5+2.6+4.5+4.4+4.5</f>
        <v>21</v>
      </c>
      <c r="K8" s="13">
        <f t="shared" si="0"/>
        <v>40.200000000000003</v>
      </c>
      <c r="L8" s="14">
        <v>3</v>
      </c>
      <c r="M8" s="13">
        <f>2.8+2.7+2.6+3.9+3.8+3.7</f>
        <v>19.5</v>
      </c>
      <c r="N8" s="13">
        <f>2.8+2.5+2.7+3.9+3.8+3.6</f>
        <v>19.3</v>
      </c>
      <c r="O8" s="13">
        <f>M8+N8</f>
        <v>38.799999999999997</v>
      </c>
      <c r="P8" s="14">
        <v>13</v>
      </c>
      <c r="Q8" s="15">
        <f t="shared" si="1"/>
        <v>29</v>
      </c>
    </row>
    <row r="9" spans="1:17" x14ac:dyDescent="0.25">
      <c r="A9" s="12">
        <v>4</v>
      </c>
      <c r="B9" s="12" t="s">
        <v>695</v>
      </c>
      <c r="C9" s="12" t="s">
        <v>6</v>
      </c>
      <c r="D9" s="13">
        <v>25.3</v>
      </c>
      <c r="E9" s="13">
        <v>21.7</v>
      </c>
      <c r="F9" s="13">
        <v>20.7</v>
      </c>
      <c r="G9" s="13">
        <f>SUM(D9:F9)</f>
        <v>67.7</v>
      </c>
      <c r="H9" s="14">
        <v>13</v>
      </c>
      <c r="I9" s="13">
        <f>2.4+2.6+2.7+4.4+4.4+4.3</f>
        <v>20.8</v>
      </c>
      <c r="J9" s="13">
        <f>2.5+2.4+2.5+4.6+4.5+4.4</f>
        <v>20.9</v>
      </c>
      <c r="K9" s="13">
        <f t="shared" si="0"/>
        <v>41.7</v>
      </c>
      <c r="L9" s="14">
        <v>3</v>
      </c>
      <c r="M9" s="13">
        <f>2.7+2.7+2.7+3.7+3.7+3.7</f>
        <v>19.2</v>
      </c>
      <c r="N9" s="13">
        <f>2.7+2.5+2.7+3.9+3.6+3.6</f>
        <v>19</v>
      </c>
      <c r="O9" s="13">
        <f>M9+N9</f>
        <v>38.200000000000003</v>
      </c>
      <c r="P9" s="14">
        <v>13</v>
      </c>
      <c r="Q9" s="15">
        <f t="shared" si="1"/>
        <v>29</v>
      </c>
    </row>
    <row r="10" spans="1:17" x14ac:dyDescent="0.25">
      <c r="A10" s="12">
        <v>5</v>
      </c>
      <c r="B10" s="12" t="s">
        <v>694</v>
      </c>
      <c r="C10" s="12" t="s">
        <v>5</v>
      </c>
      <c r="D10" s="13">
        <v>24.7</v>
      </c>
      <c r="E10" s="13">
        <v>21.4</v>
      </c>
      <c r="F10" s="13">
        <v>14.7</v>
      </c>
      <c r="G10" s="13">
        <f>SUM(D10:F10)</f>
        <v>60.8</v>
      </c>
      <c r="H10" s="14">
        <v>3</v>
      </c>
      <c r="I10" s="13">
        <f>2.6+2.6+2.6+4.5+4.5+4.4</f>
        <v>21.200000000000003</v>
      </c>
      <c r="J10" s="13">
        <f>2.5+2.6+2.4+4.6+4.5+4.5</f>
        <v>21.1</v>
      </c>
      <c r="K10" s="13">
        <f t="shared" si="0"/>
        <v>42.300000000000004</v>
      </c>
      <c r="L10" s="14">
        <v>13</v>
      </c>
      <c r="M10" s="13">
        <f>2.6+2.6+2.5+3.5+3.6+3.6</f>
        <v>18.399999999999999</v>
      </c>
      <c r="N10" s="13">
        <f>2.8+2.6+2.8+3.8+3.8+3.9</f>
        <v>19.7</v>
      </c>
      <c r="O10" s="13">
        <f>M10+N10</f>
        <v>38.099999999999994</v>
      </c>
      <c r="P10" s="14">
        <v>3</v>
      </c>
      <c r="Q10" s="15">
        <f t="shared" si="1"/>
        <v>19</v>
      </c>
    </row>
    <row r="11" spans="1:17" x14ac:dyDescent="0.25">
      <c r="A11" s="12">
        <v>6</v>
      </c>
      <c r="B11" s="16" t="s">
        <v>464</v>
      </c>
      <c r="C11" s="12" t="s">
        <v>95</v>
      </c>
      <c r="D11" s="13"/>
      <c r="E11" s="13"/>
      <c r="F11" s="13"/>
      <c r="G11" s="13"/>
      <c r="H11" s="14"/>
      <c r="I11" s="13">
        <f>2.7+2.5+2.8+4.6+4.3+4.4</f>
        <v>21.299999999999997</v>
      </c>
      <c r="J11" s="13">
        <f>2.5+2.6+2.5+4.7+4.7+4.5</f>
        <v>21.5</v>
      </c>
      <c r="K11" s="13">
        <f t="shared" si="0"/>
        <v>42.8</v>
      </c>
      <c r="L11" s="14">
        <v>13</v>
      </c>
      <c r="M11" s="13"/>
      <c r="N11" s="13"/>
      <c r="O11" s="13"/>
      <c r="P11" s="14"/>
      <c r="Q11" s="15">
        <f t="shared" si="1"/>
        <v>13</v>
      </c>
    </row>
    <row r="12" spans="1:17" x14ac:dyDescent="0.25">
      <c r="A12" s="12">
        <v>7</v>
      </c>
      <c r="B12" s="12" t="s">
        <v>64</v>
      </c>
      <c r="C12" s="12" t="s">
        <v>15</v>
      </c>
      <c r="D12" s="13">
        <v>23.7</v>
      </c>
      <c r="E12" s="13">
        <v>19.399999999999999</v>
      </c>
      <c r="F12" s="13">
        <v>18.899999999999999</v>
      </c>
      <c r="G12" s="13">
        <f t="shared" ref="G12:G19" si="2">SUM(D12:F12)</f>
        <v>61.999999999999993</v>
      </c>
      <c r="H12" s="14">
        <v>3</v>
      </c>
      <c r="I12" s="13">
        <f>2.4+2.5+2.7+4.3+4.2+4.3</f>
        <v>20.400000000000002</v>
      </c>
      <c r="J12" s="13">
        <f>2.3+2.5+2.4+4.5+4.5+4.5</f>
        <v>20.7</v>
      </c>
      <c r="K12" s="13">
        <f t="shared" si="0"/>
        <v>41.1</v>
      </c>
      <c r="L12" s="14">
        <v>3</v>
      </c>
      <c r="M12" s="13">
        <f>2.6+2.6+2.6+3.6+3.6+3.6</f>
        <v>18.600000000000001</v>
      </c>
      <c r="N12" s="13">
        <f>2.7+2.6+2.5+3.6+3.6+3.6</f>
        <v>18.600000000000001</v>
      </c>
      <c r="O12" s="13">
        <f t="shared" ref="O12:O30" si="3">M12+N12</f>
        <v>37.200000000000003</v>
      </c>
      <c r="P12" s="14">
        <v>3</v>
      </c>
      <c r="Q12" s="15">
        <f t="shared" si="1"/>
        <v>9</v>
      </c>
    </row>
    <row r="13" spans="1:17" x14ac:dyDescent="0.25">
      <c r="A13" s="12">
        <v>8</v>
      </c>
      <c r="B13" s="12" t="s">
        <v>700</v>
      </c>
      <c r="C13" s="12" t="s">
        <v>26</v>
      </c>
      <c r="D13" s="13">
        <v>23.5</v>
      </c>
      <c r="E13" s="13">
        <v>17.5</v>
      </c>
      <c r="F13" s="13">
        <v>17.3</v>
      </c>
      <c r="G13" s="13">
        <f t="shared" si="2"/>
        <v>58.3</v>
      </c>
      <c r="H13" s="14">
        <v>3</v>
      </c>
      <c r="I13" s="13">
        <f>2.5+2.4+2.5+4.4+4.2+4.2</f>
        <v>20.2</v>
      </c>
      <c r="J13" s="13">
        <f>2.2+2.3+2.3+4.3+4.3+4.4</f>
        <v>19.799999999999997</v>
      </c>
      <c r="K13" s="13">
        <f t="shared" si="0"/>
        <v>40</v>
      </c>
      <c r="L13" s="14">
        <v>3</v>
      </c>
      <c r="M13" s="13">
        <f>2.6+2.6+2.6+3.6+3.7+3.7</f>
        <v>18.8</v>
      </c>
      <c r="N13" s="13">
        <f>2.6+2.4+2.4+3.6+3.5+3.5</f>
        <v>18</v>
      </c>
      <c r="O13" s="13">
        <f t="shared" si="3"/>
        <v>36.799999999999997</v>
      </c>
      <c r="P13" s="14">
        <v>3</v>
      </c>
      <c r="Q13" s="15">
        <f t="shared" si="1"/>
        <v>9</v>
      </c>
    </row>
    <row r="14" spans="1:17" x14ac:dyDescent="0.25">
      <c r="A14" s="12">
        <v>9</v>
      </c>
      <c r="B14" s="12" t="s">
        <v>55</v>
      </c>
      <c r="C14" s="12" t="s">
        <v>5</v>
      </c>
      <c r="D14" s="13">
        <v>23.5</v>
      </c>
      <c r="E14" s="13">
        <v>19</v>
      </c>
      <c r="F14" s="13">
        <v>16.5</v>
      </c>
      <c r="G14" s="13">
        <f t="shared" si="2"/>
        <v>59</v>
      </c>
      <c r="H14" s="14">
        <v>3</v>
      </c>
      <c r="I14" s="13">
        <f>2.3+2.3+2.5+4.2+4.2+4.3</f>
        <v>19.8</v>
      </c>
      <c r="J14" s="13">
        <f>2.4+2.4+2.4+4.5+4.5+4.5</f>
        <v>20.7</v>
      </c>
      <c r="K14" s="13">
        <f t="shared" si="0"/>
        <v>40.5</v>
      </c>
      <c r="L14" s="14">
        <v>3</v>
      </c>
      <c r="M14" s="13">
        <f>2.5+2.4+2.4+3.5+3.5+3.5</f>
        <v>17.8</v>
      </c>
      <c r="N14" s="13">
        <f>2.6+2.6+2.6+3.5+3.8+3.6</f>
        <v>18.700000000000003</v>
      </c>
      <c r="O14" s="13">
        <f t="shared" si="3"/>
        <v>36.5</v>
      </c>
      <c r="P14" s="14">
        <v>3</v>
      </c>
      <c r="Q14" s="15">
        <f t="shared" si="1"/>
        <v>9</v>
      </c>
    </row>
    <row r="15" spans="1:17" x14ac:dyDescent="0.25">
      <c r="A15" s="12">
        <v>10</v>
      </c>
      <c r="B15" s="12" t="s">
        <v>81</v>
      </c>
      <c r="C15" s="12" t="s">
        <v>82</v>
      </c>
      <c r="D15" s="13">
        <v>24.5</v>
      </c>
      <c r="E15" s="13">
        <v>22.2</v>
      </c>
      <c r="F15" s="13">
        <v>18.2</v>
      </c>
      <c r="G15" s="13">
        <f t="shared" si="2"/>
        <v>64.900000000000006</v>
      </c>
      <c r="H15" s="14">
        <v>3</v>
      </c>
      <c r="I15" s="13">
        <f>2.6+2.5+2.7+4.5+4.4+4.2</f>
        <v>20.900000000000002</v>
      </c>
      <c r="J15" s="13">
        <f>2.5+2.5+2.4+4.5+4.5+4.4</f>
        <v>20.799999999999997</v>
      </c>
      <c r="K15" s="13">
        <f t="shared" si="0"/>
        <v>41.7</v>
      </c>
      <c r="L15" s="14">
        <v>3</v>
      </c>
      <c r="M15" s="13">
        <f>2.6+2.5+2.6+3.6+3.6+3.6</f>
        <v>18.5</v>
      </c>
      <c r="N15" s="13">
        <f>2.4+2.4+2.5+3.6+3.5+3.5</f>
        <v>17.899999999999999</v>
      </c>
      <c r="O15" s="13">
        <f t="shared" si="3"/>
        <v>36.4</v>
      </c>
      <c r="P15" s="14">
        <v>3</v>
      </c>
      <c r="Q15" s="15">
        <f t="shared" si="1"/>
        <v>9</v>
      </c>
    </row>
    <row r="16" spans="1:17" x14ac:dyDescent="0.25">
      <c r="A16" s="12">
        <v>11</v>
      </c>
      <c r="B16" s="12" t="s">
        <v>62</v>
      </c>
      <c r="C16" s="12" t="s">
        <v>5</v>
      </c>
      <c r="D16" s="13">
        <v>22.4</v>
      </c>
      <c r="E16" s="13">
        <v>19.100000000000001</v>
      </c>
      <c r="F16" s="13">
        <v>17.5</v>
      </c>
      <c r="G16" s="13">
        <f t="shared" si="2"/>
        <v>59</v>
      </c>
      <c r="H16" s="14">
        <v>3</v>
      </c>
      <c r="I16" s="13">
        <f>2.3+2.2+2.4+4.4+4+3.9</f>
        <v>19.2</v>
      </c>
      <c r="J16" s="13">
        <f>2.3+2.3+2.3+4.3+4.3+4.3</f>
        <v>19.8</v>
      </c>
      <c r="K16" s="13">
        <f t="shared" si="0"/>
        <v>39</v>
      </c>
      <c r="L16" s="14">
        <v>3</v>
      </c>
      <c r="M16" s="13">
        <f>2.4+2.4+2.4+3.4+3.4+3.4</f>
        <v>17.399999999999999</v>
      </c>
      <c r="N16" s="13">
        <f>2.5+2.4+2.7+3.5+3.6+3.5</f>
        <v>18.200000000000003</v>
      </c>
      <c r="O16" s="13">
        <f t="shared" si="3"/>
        <v>35.6</v>
      </c>
      <c r="P16" s="14">
        <v>3</v>
      </c>
      <c r="Q16" s="15">
        <f t="shared" si="1"/>
        <v>9</v>
      </c>
    </row>
    <row r="17" spans="1:17" x14ac:dyDescent="0.25">
      <c r="A17" s="12">
        <v>12</v>
      </c>
      <c r="B17" s="12" t="s">
        <v>66</v>
      </c>
      <c r="C17" s="12" t="s">
        <v>67</v>
      </c>
      <c r="D17" s="13">
        <v>22.7</v>
      </c>
      <c r="E17" s="13">
        <v>18.5</v>
      </c>
      <c r="F17" s="13">
        <v>16.2</v>
      </c>
      <c r="G17" s="13">
        <f t="shared" si="2"/>
        <v>57.400000000000006</v>
      </c>
      <c r="H17" s="14">
        <v>3</v>
      </c>
      <c r="I17" s="13">
        <f>2.2+2.2+2.6+4.2+4+4.2</f>
        <v>19.399999999999999</v>
      </c>
      <c r="J17" s="13">
        <f>2.2+2.2+2.2+4.1+4+4.1</f>
        <v>18.799999999999997</v>
      </c>
      <c r="K17" s="13">
        <f t="shared" si="0"/>
        <v>38.199999999999996</v>
      </c>
      <c r="L17" s="14">
        <v>3</v>
      </c>
      <c r="M17" s="13">
        <f>2.6+2.5+2.5+3.5+3.6+3.4</f>
        <v>18.099999999999998</v>
      </c>
      <c r="N17" s="13">
        <f>2.2+2.3+2.4+3.2+3.4+3.4</f>
        <v>16.900000000000002</v>
      </c>
      <c r="O17" s="13">
        <f t="shared" si="3"/>
        <v>35</v>
      </c>
      <c r="P17" s="14">
        <v>3</v>
      </c>
      <c r="Q17" s="15">
        <f t="shared" si="1"/>
        <v>9</v>
      </c>
    </row>
    <row r="18" spans="1:17" x14ac:dyDescent="0.25">
      <c r="A18" s="12">
        <v>13</v>
      </c>
      <c r="B18" s="12" t="s">
        <v>60</v>
      </c>
      <c r="C18" s="12" t="s">
        <v>12</v>
      </c>
      <c r="D18" s="13">
        <v>22.6</v>
      </c>
      <c r="E18" s="13">
        <v>17.8</v>
      </c>
      <c r="F18" s="13">
        <v>16.600000000000001</v>
      </c>
      <c r="G18" s="13">
        <f t="shared" si="2"/>
        <v>57.000000000000007</v>
      </c>
      <c r="H18" s="14">
        <v>3</v>
      </c>
      <c r="I18" s="13">
        <f>2.2+2.1+2.3+4.2+3.8+3.7</f>
        <v>18.3</v>
      </c>
      <c r="J18" s="13">
        <f>2.2+2.1+2.1+4.2+4+4.1</f>
        <v>18.700000000000003</v>
      </c>
      <c r="K18" s="13">
        <f t="shared" si="0"/>
        <v>37</v>
      </c>
      <c r="L18" s="14">
        <v>3</v>
      </c>
      <c r="M18" s="13">
        <f>2.4+2.5+2.5+3.5+3.6+3.6</f>
        <v>18.100000000000001</v>
      </c>
      <c r="N18" s="13">
        <f>2.1+2.1+2.1+3.3+3.4+3.1</f>
        <v>16.100000000000001</v>
      </c>
      <c r="O18" s="13">
        <f t="shared" si="3"/>
        <v>34.200000000000003</v>
      </c>
      <c r="P18" s="14">
        <v>3</v>
      </c>
      <c r="Q18" s="15">
        <f t="shared" si="1"/>
        <v>9</v>
      </c>
    </row>
    <row r="19" spans="1:17" x14ac:dyDescent="0.25">
      <c r="A19" s="12">
        <v>14</v>
      </c>
      <c r="B19" s="12" t="s">
        <v>59</v>
      </c>
      <c r="C19" s="12" t="s">
        <v>12</v>
      </c>
      <c r="D19" s="13">
        <v>21.1</v>
      </c>
      <c r="E19" s="13">
        <v>17.5</v>
      </c>
      <c r="F19" s="13">
        <v>15.9</v>
      </c>
      <c r="G19" s="13">
        <f t="shared" si="2"/>
        <v>54.5</v>
      </c>
      <c r="H19" s="14">
        <v>3</v>
      </c>
      <c r="I19" s="13">
        <f>2.3+2.2+2.5+4.3+4.1+4.1</f>
        <v>19.5</v>
      </c>
      <c r="J19" s="13">
        <f>2+1.9+2.1+4+3.9+4</f>
        <v>17.899999999999999</v>
      </c>
      <c r="K19" s="13">
        <f t="shared" si="0"/>
        <v>37.4</v>
      </c>
      <c r="L19" s="14">
        <v>3</v>
      </c>
      <c r="M19" s="13">
        <f>2.4+2.5+2.4+3.4+3.4+3.4</f>
        <v>17.5</v>
      </c>
      <c r="N19" s="13">
        <f>2.2+2.1+2.1+3.3+3.2+3.2</f>
        <v>16.099999999999998</v>
      </c>
      <c r="O19" s="13">
        <f t="shared" si="3"/>
        <v>33.599999999999994</v>
      </c>
      <c r="P19" s="14">
        <v>3</v>
      </c>
      <c r="Q19" s="15">
        <f t="shared" si="1"/>
        <v>9</v>
      </c>
    </row>
    <row r="20" spans="1:17" x14ac:dyDescent="0.25">
      <c r="A20" s="12">
        <v>15</v>
      </c>
      <c r="B20" s="16" t="s">
        <v>461</v>
      </c>
      <c r="C20" s="12" t="s">
        <v>437</v>
      </c>
      <c r="D20" s="13"/>
      <c r="E20" s="13"/>
      <c r="F20" s="13"/>
      <c r="G20" s="13"/>
      <c r="H20" s="14"/>
      <c r="I20" s="13">
        <f>2.5+2.6+2.6+4.4+4.4+4.1</f>
        <v>20.6</v>
      </c>
      <c r="J20" s="13">
        <f>2.4+2.4+2.4+4.4+4.5+4.5</f>
        <v>20.6</v>
      </c>
      <c r="K20" s="13">
        <f t="shared" si="0"/>
        <v>41.2</v>
      </c>
      <c r="L20" s="14">
        <v>3</v>
      </c>
      <c r="M20" s="13">
        <f>2.6+2.8+2.6+3.6+3.8+3.6</f>
        <v>19</v>
      </c>
      <c r="N20" s="13">
        <f>2.4+2.7+2.6+3.6+3.7+3.6</f>
        <v>18.600000000000001</v>
      </c>
      <c r="O20" s="13">
        <f t="shared" si="3"/>
        <v>37.6</v>
      </c>
      <c r="P20" s="14">
        <v>3</v>
      </c>
      <c r="Q20" s="15">
        <f t="shared" si="1"/>
        <v>6</v>
      </c>
    </row>
    <row r="21" spans="1:17" x14ac:dyDescent="0.25">
      <c r="A21" s="12">
        <v>16</v>
      </c>
      <c r="B21" s="12" t="s">
        <v>63</v>
      </c>
      <c r="C21" s="12" t="s">
        <v>5</v>
      </c>
      <c r="D21" s="13">
        <v>22</v>
      </c>
      <c r="E21" s="13">
        <v>20.100000000000001</v>
      </c>
      <c r="F21" s="13">
        <v>16.7</v>
      </c>
      <c r="G21" s="13">
        <f>SUM(D21:F21)</f>
        <v>58.8</v>
      </c>
      <c r="H21" s="14">
        <v>3</v>
      </c>
      <c r="I21" s="13"/>
      <c r="J21" s="13"/>
      <c r="K21" s="13"/>
      <c r="L21" s="14"/>
      <c r="M21" s="13">
        <f>2.5+2.4+2.4+3.4+3.4+3.4</f>
        <v>17.5</v>
      </c>
      <c r="N21" s="13">
        <f>2.7+2.8+2.9+3.9+3.7+3.6</f>
        <v>19.600000000000001</v>
      </c>
      <c r="O21" s="13">
        <f t="shared" si="3"/>
        <v>37.1</v>
      </c>
      <c r="P21" s="14">
        <v>3</v>
      </c>
      <c r="Q21" s="15">
        <f t="shared" si="1"/>
        <v>6</v>
      </c>
    </row>
    <row r="22" spans="1:17" x14ac:dyDescent="0.25">
      <c r="A22" s="12">
        <v>17</v>
      </c>
      <c r="B22" s="16" t="s">
        <v>459</v>
      </c>
      <c r="C22" s="12" t="s">
        <v>5</v>
      </c>
      <c r="D22" s="13"/>
      <c r="E22" s="13"/>
      <c r="F22" s="13"/>
      <c r="G22" s="13"/>
      <c r="H22" s="14"/>
      <c r="I22" s="13">
        <f>2.5+2.4+2.5+4.4+4.2+4.1</f>
        <v>20.100000000000001</v>
      </c>
      <c r="J22" s="13">
        <f>2.5+2.5+2.4+4.5+4.3+4.4</f>
        <v>20.6</v>
      </c>
      <c r="K22" s="13">
        <f>SUM(I22:J22)</f>
        <v>40.700000000000003</v>
      </c>
      <c r="L22" s="14">
        <v>3</v>
      </c>
      <c r="M22" s="13">
        <f>2.5+2.5+2.5+3.5+3.5+3.5</f>
        <v>18</v>
      </c>
      <c r="N22" s="13">
        <f>2.4+2.5+2.5+3.7+3.4+3.4</f>
        <v>17.900000000000002</v>
      </c>
      <c r="O22" s="13">
        <f t="shared" si="3"/>
        <v>35.900000000000006</v>
      </c>
      <c r="P22" s="14">
        <v>3</v>
      </c>
      <c r="Q22" s="15">
        <f t="shared" si="1"/>
        <v>6</v>
      </c>
    </row>
    <row r="23" spans="1:17" x14ac:dyDescent="0.25">
      <c r="A23" s="12">
        <v>18</v>
      </c>
      <c r="B23" s="12" t="s">
        <v>71</v>
      </c>
      <c r="C23" s="12" t="s">
        <v>72</v>
      </c>
      <c r="D23" s="13">
        <v>25.5</v>
      </c>
      <c r="E23" s="13">
        <v>20.9</v>
      </c>
      <c r="F23" s="13">
        <v>19.8</v>
      </c>
      <c r="G23" s="13">
        <f>SUM(D23:F23)</f>
        <v>66.2</v>
      </c>
      <c r="H23" s="14">
        <v>3</v>
      </c>
      <c r="I23" s="13"/>
      <c r="J23" s="13"/>
      <c r="K23" s="13"/>
      <c r="L23" s="14"/>
      <c r="M23" s="13">
        <f>2.7+2.7+2.8+3.7+3.7+3.7</f>
        <v>19.299999999999997</v>
      </c>
      <c r="N23" s="13">
        <f>2.2+2.3+2.2+2.8+3.4+3</f>
        <v>15.9</v>
      </c>
      <c r="O23" s="13">
        <f t="shared" si="3"/>
        <v>35.199999999999996</v>
      </c>
      <c r="P23" s="14">
        <v>3</v>
      </c>
      <c r="Q23" s="15">
        <f t="shared" si="1"/>
        <v>6</v>
      </c>
    </row>
    <row r="24" spans="1:17" x14ac:dyDescent="0.25">
      <c r="A24" s="12">
        <v>19</v>
      </c>
      <c r="B24" s="16" t="s">
        <v>460</v>
      </c>
      <c r="C24" s="12" t="s">
        <v>437</v>
      </c>
      <c r="D24" s="13"/>
      <c r="E24" s="13"/>
      <c r="F24" s="13"/>
      <c r="G24" s="13"/>
      <c r="H24" s="14"/>
      <c r="I24" s="13">
        <f>2.5+2.3+2.4+4.3+4.1+4.1</f>
        <v>19.7</v>
      </c>
      <c r="J24" s="13">
        <f>2.4+2.4+2.4+4.3+4.3+4.3</f>
        <v>20.100000000000001</v>
      </c>
      <c r="K24" s="13">
        <f>SUM(I24:J24)</f>
        <v>39.799999999999997</v>
      </c>
      <c r="L24" s="14">
        <v>3</v>
      </c>
      <c r="M24" s="13">
        <f>2.4+2.4+2.4+3.5+3.5+3.5</f>
        <v>17.7</v>
      </c>
      <c r="N24" s="13">
        <f>2.4+2.3+2.4+3.5+3.2+3.4</f>
        <v>17.2</v>
      </c>
      <c r="O24" s="13">
        <f t="shared" si="3"/>
        <v>34.9</v>
      </c>
      <c r="P24" s="14">
        <v>3</v>
      </c>
      <c r="Q24" s="15">
        <f t="shared" si="1"/>
        <v>6</v>
      </c>
    </row>
    <row r="25" spans="1:17" x14ac:dyDescent="0.25">
      <c r="A25" s="12">
        <v>20</v>
      </c>
      <c r="B25" s="16" t="s">
        <v>443</v>
      </c>
      <c r="C25" s="12" t="s">
        <v>444</v>
      </c>
      <c r="D25" s="13"/>
      <c r="E25" s="13"/>
      <c r="F25" s="13"/>
      <c r="G25" s="13"/>
      <c r="H25" s="14"/>
      <c r="I25" s="13">
        <f>2.5+2.2+2.6+4.4+4+4.1</f>
        <v>19.8</v>
      </c>
      <c r="J25" s="13">
        <f>2.1+2.1+2.2+4.2+4.2+4.2</f>
        <v>19</v>
      </c>
      <c r="K25" s="13">
        <f>SUM(I25:J25)</f>
        <v>38.799999999999997</v>
      </c>
      <c r="L25" s="14">
        <v>3</v>
      </c>
      <c r="M25" s="13">
        <f>2.5+2.5+2.5+3.5+3.5+3.6</f>
        <v>18.100000000000001</v>
      </c>
      <c r="N25" s="13">
        <f>2.2+2.3+2.2+3.3+3.3+3.4</f>
        <v>16.7</v>
      </c>
      <c r="O25" s="13">
        <f t="shared" si="3"/>
        <v>34.799999999999997</v>
      </c>
      <c r="P25" s="14">
        <v>3</v>
      </c>
      <c r="Q25" s="15">
        <f t="shared" si="1"/>
        <v>6</v>
      </c>
    </row>
    <row r="26" spans="1:17" x14ac:dyDescent="0.25">
      <c r="A26" s="12">
        <v>21</v>
      </c>
      <c r="B26" s="12" t="s">
        <v>693</v>
      </c>
      <c r="C26" s="12" t="s">
        <v>12</v>
      </c>
      <c r="D26" s="13">
        <v>21.7</v>
      </c>
      <c r="E26" s="13">
        <v>16.899999999999999</v>
      </c>
      <c r="F26" s="13">
        <v>16.3</v>
      </c>
      <c r="G26" s="13">
        <f>SUM(D26:F26)</f>
        <v>54.899999999999991</v>
      </c>
      <c r="H26" s="14">
        <v>3</v>
      </c>
      <c r="I26" s="13"/>
      <c r="J26" s="13"/>
      <c r="K26" s="13"/>
      <c r="L26" s="14"/>
      <c r="M26" s="13">
        <f>2.4+2.5+2.4+3.5+3.5+3.5</f>
        <v>17.8</v>
      </c>
      <c r="N26" s="13">
        <f>2.3+2.2+2.2+3.5+3.3+3.3</f>
        <v>16.8</v>
      </c>
      <c r="O26" s="13">
        <f t="shared" si="3"/>
        <v>34.6</v>
      </c>
      <c r="P26" s="14">
        <v>3</v>
      </c>
      <c r="Q26" s="15">
        <f t="shared" si="1"/>
        <v>6</v>
      </c>
    </row>
    <row r="27" spans="1:17" x14ac:dyDescent="0.25">
      <c r="A27" s="12">
        <v>22</v>
      </c>
      <c r="B27" s="16" t="s">
        <v>462</v>
      </c>
      <c r="C27" s="12" t="s">
        <v>437</v>
      </c>
      <c r="D27" s="13"/>
      <c r="E27" s="13"/>
      <c r="F27" s="13"/>
      <c r="G27" s="13"/>
      <c r="H27" s="14"/>
      <c r="I27" s="13">
        <f>2.6+2.3+2.6+4.4+4.2+4.2</f>
        <v>20.3</v>
      </c>
      <c r="J27" s="13">
        <f>2.1+2+2.2+4.2+4.1+4.2</f>
        <v>18.8</v>
      </c>
      <c r="K27" s="13">
        <f>SUM(I27:J27)</f>
        <v>39.1</v>
      </c>
      <c r="L27" s="14">
        <v>3</v>
      </c>
      <c r="M27" s="13">
        <f>2.5+2.5+2.5+3.5+3.5+3.5</f>
        <v>18</v>
      </c>
      <c r="N27" s="13">
        <f>2.1+2.2+2.2+3.1+3.1+3.2</f>
        <v>15.900000000000002</v>
      </c>
      <c r="O27" s="13">
        <f t="shared" si="3"/>
        <v>33.900000000000006</v>
      </c>
      <c r="P27" s="14">
        <v>3</v>
      </c>
      <c r="Q27" s="15">
        <f t="shared" si="1"/>
        <v>6</v>
      </c>
    </row>
    <row r="28" spans="1:17" x14ac:dyDescent="0.25">
      <c r="A28" s="12">
        <v>23</v>
      </c>
      <c r="B28" s="16" t="s">
        <v>458</v>
      </c>
      <c r="C28" s="12" t="s">
        <v>311</v>
      </c>
      <c r="D28" s="13"/>
      <c r="E28" s="13"/>
      <c r="F28" s="13"/>
      <c r="G28" s="13"/>
      <c r="H28" s="14"/>
      <c r="I28" s="13">
        <f>2.5+2.2+2.5+4.5+4.1+4.1</f>
        <v>19.899999999999999</v>
      </c>
      <c r="J28" s="13">
        <f>2.3+2.3+2.3+4.4+4.3+4.2</f>
        <v>19.8</v>
      </c>
      <c r="K28" s="13">
        <f>SUM(I28:J28)</f>
        <v>39.700000000000003</v>
      </c>
      <c r="L28" s="14">
        <v>3</v>
      </c>
      <c r="M28" s="13">
        <f>2.5+2.5+2.4+3.4+3.5+3.3</f>
        <v>17.600000000000001</v>
      </c>
      <c r="N28" s="13">
        <f>2.1+2.2+2.1+3.1+3.3+3.3</f>
        <v>16.100000000000001</v>
      </c>
      <c r="O28" s="13">
        <f t="shared" si="3"/>
        <v>33.700000000000003</v>
      </c>
      <c r="P28" s="14">
        <v>3</v>
      </c>
      <c r="Q28" s="15">
        <f t="shared" si="1"/>
        <v>6</v>
      </c>
    </row>
    <row r="29" spans="1:17" x14ac:dyDescent="0.25">
      <c r="A29" s="12">
        <v>24</v>
      </c>
      <c r="B29" s="16" t="s">
        <v>466</v>
      </c>
      <c r="C29" s="12" t="s">
        <v>444</v>
      </c>
      <c r="D29" s="13"/>
      <c r="E29" s="13"/>
      <c r="F29" s="13"/>
      <c r="G29" s="13"/>
      <c r="H29" s="14"/>
      <c r="I29" s="13">
        <f>2.3+2.2+2.3+4.2+4+4</f>
        <v>19</v>
      </c>
      <c r="J29" s="13">
        <f>2.1+2.1+2.2+4.2+4.1+4.2</f>
        <v>18.900000000000002</v>
      </c>
      <c r="K29" s="13">
        <f>SUM(I29:J29)</f>
        <v>37.900000000000006</v>
      </c>
      <c r="L29" s="14">
        <v>3</v>
      </c>
      <c r="M29" s="13">
        <f>2.4+2.4+2.4+3.4+3.4+3.4</f>
        <v>17.399999999999999</v>
      </c>
      <c r="N29" s="13">
        <f>2.6+2.1+2.1+3+3.2+3.3</f>
        <v>16.3</v>
      </c>
      <c r="O29" s="13">
        <f t="shared" si="3"/>
        <v>33.700000000000003</v>
      </c>
      <c r="P29" s="14">
        <v>3</v>
      </c>
      <c r="Q29" s="15">
        <f t="shared" si="1"/>
        <v>6</v>
      </c>
    </row>
    <row r="30" spans="1:17" x14ac:dyDescent="0.25">
      <c r="A30" s="12">
        <v>25</v>
      </c>
      <c r="B30" s="12" t="s">
        <v>58</v>
      </c>
      <c r="C30" s="12" t="s">
        <v>12</v>
      </c>
      <c r="D30" s="13">
        <v>22.3</v>
      </c>
      <c r="E30" s="13">
        <v>18.2</v>
      </c>
      <c r="F30" s="13">
        <v>16.100000000000001</v>
      </c>
      <c r="G30" s="13">
        <f>SUM(D30:F30)</f>
        <v>56.6</v>
      </c>
      <c r="H30" s="14">
        <v>3</v>
      </c>
      <c r="I30" s="13"/>
      <c r="J30" s="13"/>
      <c r="K30" s="13"/>
      <c r="L30" s="14"/>
      <c r="M30" s="13">
        <f>2.5+2.5+2.5+3.5+3.5+3.5</f>
        <v>18</v>
      </c>
      <c r="N30" s="13">
        <f>2+2.1+2+2.9+3+3.2</f>
        <v>15.2</v>
      </c>
      <c r="O30" s="13">
        <f t="shared" si="3"/>
        <v>33.200000000000003</v>
      </c>
      <c r="P30" s="14">
        <v>3</v>
      </c>
      <c r="Q30" s="15">
        <f t="shared" si="1"/>
        <v>6</v>
      </c>
    </row>
    <row r="31" spans="1:17" x14ac:dyDescent="0.25">
      <c r="A31" s="12">
        <v>26</v>
      </c>
      <c r="B31" s="12" t="s">
        <v>76</v>
      </c>
      <c r="C31" s="12" t="s">
        <v>6</v>
      </c>
      <c r="D31" s="13">
        <v>23.4</v>
      </c>
      <c r="E31" s="13">
        <v>17.100000000000001</v>
      </c>
      <c r="F31" s="13">
        <v>18.7</v>
      </c>
      <c r="G31" s="13">
        <f>SUM(D31:F31)</f>
        <v>59.2</v>
      </c>
      <c r="H31" s="14">
        <v>3</v>
      </c>
      <c r="I31" s="13">
        <f>2.4+2.3+2.6+4.3+4.1+4</f>
        <v>19.699999999999996</v>
      </c>
      <c r="J31" s="13">
        <f>2.3+2.3+2.2+4.3+4.2+4.3</f>
        <v>19.600000000000001</v>
      </c>
      <c r="K31" s="13">
        <f>SUM(I31:J31)</f>
        <v>39.299999999999997</v>
      </c>
      <c r="L31" s="14">
        <v>3</v>
      </c>
      <c r="M31" s="13"/>
      <c r="N31" s="13"/>
      <c r="O31" s="13"/>
      <c r="P31" s="14"/>
      <c r="Q31" s="15">
        <f t="shared" si="1"/>
        <v>6</v>
      </c>
    </row>
    <row r="32" spans="1:17" x14ac:dyDescent="0.25">
      <c r="A32" s="12">
        <v>27</v>
      </c>
      <c r="B32" s="16" t="s">
        <v>697</v>
      </c>
      <c r="C32" s="12" t="s">
        <v>698</v>
      </c>
      <c r="D32" s="13"/>
      <c r="E32" s="13"/>
      <c r="F32" s="13"/>
      <c r="G32" s="13"/>
      <c r="H32" s="14"/>
      <c r="I32" s="13"/>
      <c r="J32" s="13"/>
      <c r="K32" s="13"/>
      <c r="L32" s="14"/>
      <c r="M32" s="13">
        <f>2.4+2.4+2.5+3.4+3.5+3.6</f>
        <v>17.8</v>
      </c>
      <c r="N32" s="13">
        <f>2.8+2.6+2.7+3.8+3.7+3.8</f>
        <v>19.400000000000002</v>
      </c>
      <c r="O32" s="13">
        <f>M32+N32</f>
        <v>37.200000000000003</v>
      </c>
      <c r="P32" s="14">
        <v>3</v>
      </c>
      <c r="Q32" s="15">
        <f t="shared" si="1"/>
        <v>3</v>
      </c>
    </row>
    <row r="33" spans="1:17" x14ac:dyDescent="0.25">
      <c r="A33" s="12">
        <v>28</v>
      </c>
      <c r="B33" s="16" t="s">
        <v>699</v>
      </c>
      <c r="C33" s="12" t="s">
        <v>698</v>
      </c>
      <c r="D33" s="13"/>
      <c r="E33" s="13"/>
      <c r="F33" s="13"/>
      <c r="G33" s="13"/>
      <c r="H33" s="14"/>
      <c r="I33" s="13"/>
      <c r="J33" s="13"/>
      <c r="K33" s="13"/>
      <c r="L33" s="14"/>
      <c r="M33" s="13">
        <f>2.6+2.5+2.6+3.5+3.6+3.7</f>
        <v>18.5</v>
      </c>
      <c r="N33" s="13">
        <f>2.6+2.4+2.5+3.5+3.6+3.6</f>
        <v>18.2</v>
      </c>
      <c r="O33" s="13">
        <f>M33+N33</f>
        <v>36.700000000000003</v>
      </c>
      <c r="P33" s="14">
        <v>3</v>
      </c>
      <c r="Q33" s="15">
        <f t="shared" si="1"/>
        <v>3</v>
      </c>
    </row>
    <row r="34" spans="1:17" x14ac:dyDescent="0.25">
      <c r="A34" s="12">
        <v>29</v>
      </c>
      <c r="B34" s="16" t="s">
        <v>696</v>
      </c>
      <c r="C34" s="12" t="s">
        <v>688</v>
      </c>
      <c r="D34" s="13"/>
      <c r="E34" s="13"/>
      <c r="F34" s="13"/>
      <c r="G34" s="13"/>
      <c r="H34" s="14"/>
      <c r="I34" s="13"/>
      <c r="J34" s="13"/>
      <c r="K34" s="13"/>
      <c r="L34" s="14"/>
      <c r="M34" s="13">
        <f>2.5+2.5+2.5+3.5+3.5+3.5</f>
        <v>18</v>
      </c>
      <c r="N34" s="13">
        <f>2.4+2.3+2.4+3.4+3.4+3.2</f>
        <v>17.100000000000001</v>
      </c>
      <c r="O34" s="13">
        <f>M34+N34</f>
        <v>35.1</v>
      </c>
      <c r="P34" s="14">
        <v>3</v>
      </c>
      <c r="Q34" s="15">
        <f t="shared" si="1"/>
        <v>3</v>
      </c>
    </row>
    <row r="35" spans="1:17" x14ac:dyDescent="0.25">
      <c r="A35" s="12">
        <v>30</v>
      </c>
      <c r="B35" s="16" t="s">
        <v>435</v>
      </c>
      <c r="C35" s="12" t="s">
        <v>668</v>
      </c>
      <c r="D35" s="13"/>
      <c r="E35" s="13"/>
      <c r="F35" s="13"/>
      <c r="G35" s="13"/>
      <c r="H35" s="14"/>
      <c r="I35" s="13"/>
      <c r="J35" s="13"/>
      <c r="K35" s="13"/>
      <c r="L35" s="14"/>
      <c r="M35" s="13">
        <f>2.5+2.5+2.4+3.5+3.6+3.4</f>
        <v>17.899999999999999</v>
      </c>
      <c r="N35" s="13">
        <f>2.3+2.1+2.2+3.3+3.1+3.2</f>
        <v>16.2</v>
      </c>
      <c r="O35" s="13">
        <f>M35+N35</f>
        <v>34.099999999999994</v>
      </c>
      <c r="P35" s="14">
        <v>3</v>
      </c>
      <c r="Q35" s="15">
        <f t="shared" si="1"/>
        <v>3</v>
      </c>
    </row>
    <row r="36" spans="1:17" x14ac:dyDescent="0.25">
      <c r="A36" s="12">
        <v>31</v>
      </c>
      <c r="B36" s="16" t="s">
        <v>463</v>
      </c>
      <c r="C36" s="12" t="s">
        <v>437</v>
      </c>
      <c r="D36" s="13"/>
      <c r="E36" s="13"/>
      <c r="F36" s="13"/>
      <c r="G36" s="13"/>
      <c r="H36" s="14"/>
      <c r="I36" s="13">
        <f>2.5+2.4+2.5+4.2+4.2+4.1</f>
        <v>19.899999999999999</v>
      </c>
      <c r="J36" s="13">
        <f>2.3+2.3+2.3+4.3+4.3+4.3</f>
        <v>19.8</v>
      </c>
      <c r="K36" s="13">
        <f>SUM(I36:J36)</f>
        <v>39.700000000000003</v>
      </c>
      <c r="L36" s="14">
        <v>3</v>
      </c>
      <c r="M36" s="13"/>
      <c r="N36" s="13"/>
      <c r="O36" s="13"/>
      <c r="P36" s="14"/>
      <c r="Q36" s="15">
        <f t="shared" si="1"/>
        <v>3</v>
      </c>
    </row>
    <row r="37" spans="1:17" x14ac:dyDescent="0.25">
      <c r="A37" s="12">
        <v>32</v>
      </c>
      <c r="B37" s="16" t="s">
        <v>465</v>
      </c>
      <c r="C37" s="12" t="s">
        <v>397</v>
      </c>
      <c r="D37" s="13"/>
      <c r="E37" s="13"/>
      <c r="F37" s="13"/>
      <c r="G37" s="13"/>
      <c r="H37" s="14"/>
      <c r="I37" s="13">
        <f>2.6+2.3+2.5+4.3+4.1+4</f>
        <v>19.799999999999997</v>
      </c>
      <c r="J37" s="13">
        <f>2.2+2.2+2.2+4.4+4.3+4.2</f>
        <v>19.5</v>
      </c>
      <c r="K37" s="13">
        <f>SUM(I37:J37)</f>
        <v>39.299999999999997</v>
      </c>
      <c r="L37" s="14">
        <v>3</v>
      </c>
      <c r="M37" s="13"/>
      <c r="N37" s="13"/>
      <c r="O37" s="13"/>
      <c r="P37" s="14"/>
      <c r="Q37" s="15">
        <f t="shared" si="1"/>
        <v>3</v>
      </c>
    </row>
    <row r="38" spans="1:17" x14ac:dyDescent="0.25">
      <c r="A38" s="12">
        <v>33</v>
      </c>
      <c r="B38" s="12" t="s">
        <v>78</v>
      </c>
      <c r="C38" s="12" t="s">
        <v>6</v>
      </c>
      <c r="D38" s="13">
        <v>25.4</v>
      </c>
      <c r="E38" s="13">
        <v>22</v>
      </c>
      <c r="F38" s="13">
        <v>20.2</v>
      </c>
      <c r="G38" s="13">
        <f t="shared" ref="G38:G46" si="4">SUM(D38:F38)</f>
        <v>67.599999999999994</v>
      </c>
      <c r="H38" s="14">
        <v>3</v>
      </c>
      <c r="I38" s="13"/>
      <c r="J38" s="13"/>
      <c r="K38" s="13"/>
      <c r="L38" s="14"/>
      <c r="M38" s="13"/>
      <c r="N38" s="13"/>
      <c r="O38" s="13"/>
      <c r="P38" s="14"/>
      <c r="Q38" s="15">
        <f t="shared" si="1"/>
        <v>3</v>
      </c>
    </row>
    <row r="39" spans="1:17" x14ac:dyDescent="0.25">
      <c r="A39" s="12">
        <v>34</v>
      </c>
      <c r="B39" s="12" t="s">
        <v>56</v>
      </c>
      <c r="C39" s="12" t="s">
        <v>57</v>
      </c>
      <c r="D39" s="13">
        <v>24.3</v>
      </c>
      <c r="E39" s="13">
        <v>20.2</v>
      </c>
      <c r="F39" s="13">
        <v>19.600000000000001</v>
      </c>
      <c r="G39" s="13">
        <f t="shared" si="4"/>
        <v>64.099999999999994</v>
      </c>
      <c r="H39" s="14">
        <v>3</v>
      </c>
      <c r="I39" s="13"/>
      <c r="J39" s="13"/>
      <c r="K39" s="13"/>
      <c r="L39" s="14"/>
      <c r="M39" s="13"/>
      <c r="N39" s="13"/>
      <c r="O39" s="13"/>
      <c r="P39" s="14"/>
      <c r="Q39" s="15">
        <f t="shared" si="1"/>
        <v>3</v>
      </c>
    </row>
    <row r="40" spans="1:17" x14ac:dyDescent="0.25">
      <c r="A40" s="12">
        <v>35</v>
      </c>
      <c r="B40" s="12" t="s">
        <v>61</v>
      </c>
      <c r="C40" s="12" t="s">
        <v>57</v>
      </c>
      <c r="D40" s="13">
        <v>23.9</v>
      </c>
      <c r="E40" s="13">
        <v>19.3</v>
      </c>
      <c r="F40" s="13">
        <v>18.8</v>
      </c>
      <c r="G40" s="13">
        <f t="shared" si="4"/>
        <v>62</v>
      </c>
      <c r="H40" s="14">
        <v>3</v>
      </c>
      <c r="I40" s="13"/>
      <c r="J40" s="13"/>
      <c r="K40" s="13"/>
      <c r="L40" s="14"/>
      <c r="M40" s="13"/>
      <c r="N40" s="13"/>
      <c r="O40" s="13"/>
      <c r="P40" s="14"/>
      <c r="Q40" s="15">
        <f t="shared" si="1"/>
        <v>3</v>
      </c>
    </row>
    <row r="41" spans="1:17" x14ac:dyDescent="0.25">
      <c r="A41" s="12">
        <v>36</v>
      </c>
      <c r="B41" s="12" t="s">
        <v>65</v>
      </c>
      <c r="C41" s="12" t="s">
        <v>7</v>
      </c>
      <c r="D41" s="13">
        <v>23.6</v>
      </c>
      <c r="E41" s="13">
        <v>19.399999999999999</v>
      </c>
      <c r="F41" s="13">
        <v>18.600000000000001</v>
      </c>
      <c r="G41" s="13">
        <f t="shared" si="4"/>
        <v>61.6</v>
      </c>
      <c r="H41" s="14">
        <v>3</v>
      </c>
      <c r="I41" s="13"/>
      <c r="J41" s="13"/>
      <c r="K41" s="13"/>
      <c r="L41" s="14"/>
      <c r="M41" s="13"/>
      <c r="N41" s="13"/>
      <c r="O41" s="13"/>
      <c r="P41" s="14"/>
      <c r="Q41" s="15">
        <f t="shared" si="1"/>
        <v>3</v>
      </c>
    </row>
    <row r="42" spans="1:17" x14ac:dyDescent="0.25">
      <c r="A42" s="12">
        <v>37</v>
      </c>
      <c r="B42" s="12" t="s">
        <v>73</v>
      </c>
      <c r="C42" s="12" t="s">
        <v>29</v>
      </c>
      <c r="D42" s="13">
        <v>23.9</v>
      </c>
      <c r="E42" s="13">
        <v>19.100000000000001</v>
      </c>
      <c r="F42" s="13">
        <v>18.600000000000001</v>
      </c>
      <c r="G42" s="13">
        <f t="shared" si="4"/>
        <v>61.6</v>
      </c>
      <c r="H42" s="14">
        <v>3</v>
      </c>
      <c r="I42" s="13"/>
      <c r="J42" s="13"/>
      <c r="K42" s="13"/>
      <c r="L42" s="14"/>
      <c r="M42" s="13"/>
      <c r="N42" s="13"/>
      <c r="O42" s="13"/>
      <c r="P42" s="14"/>
      <c r="Q42" s="15">
        <f t="shared" si="1"/>
        <v>3</v>
      </c>
    </row>
    <row r="43" spans="1:17" x14ac:dyDescent="0.25">
      <c r="A43" s="12">
        <v>38</v>
      </c>
      <c r="B43" s="12" t="s">
        <v>70</v>
      </c>
      <c r="C43" s="12" t="s">
        <v>9</v>
      </c>
      <c r="D43" s="13">
        <v>22.8</v>
      </c>
      <c r="E43" s="13">
        <v>19.600000000000001</v>
      </c>
      <c r="F43" s="13">
        <v>18.8</v>
      </c>
      <c r="G43" s="13">
        <f t="shared" si="4"/>
        <v>61.2</v>
      </c>
      <c r="H43" s="14">
        <v>3</v>
      </c>
      <c r="I43" s="13"/>
      <c r="J43" s="13"/>
      <c r="K43" s="13"/>
      <c r="L43" s="14"/>
      <c r="M43" s="13"/>
      <c r="N43" s="13"/>
      <c r="O43" s="13"/>
      <c r="P43" s="14"/>
      <c r="Q43" s="15">
        <f t="shared" si="1"/>
        <v>3</v>
      </c>
    </row>
    <row r="44" spans="1:17" x14ac:dyDescent="0.25">
      <c r="A44" s="12">
        <v>39</v>
      </c>
      <c r="B44" s="12" t="s">
        <v>75</v>
      </c>
      <c r="C44" s="12" t="s">
        <v>6</v>
      </c>
      <c r="D44" s="13">
        <v>23.8</v>
      </c>
      <c r="E44" s="13">
        <v>18.2</v>
      </c>
      <c r="F44" s="13">
        <v>18.899999999999999</v>
      </c>
      <c r="G44" s="13">
        <f t="shared" si="4"/>
        <v>60.9</v>
      </c>
      <c r="H44" s="14">
        <v>3</v>
      </c>
      <c r="I44" s="13"/>
      <c r="J44" s="13"/>
      <c r="K44" s="13"/>
      <c r="L44" s="14"/>
      <c r="M44" s="13"/>
      <c r="N44" s="13"/>
      <c r="O44" s="13"/>
      <c r="P44" s="14"/>
      <c r="Q44" s="15">
        <f t="shared" si="1"/>
        <v>3</v>
      </c>
    </row>
    <row r="45" spans="1:17" x14ac:dyDescent="0.25">
      <c r="A45" s="12">
        <v>40</v>
      </c>
      <c r="B45" s="12" t="s">
        <v>79</v>
      </c>
      <c r="C45" s="12" t="s">
        <v>6</v>
      </c>
      <c r="D45" s="13">
        <v>23.4</v>
      </c>
      <c r="E45" s="13">
        <v>19.5</v>
      </c>
      <c r="F45" s="13">
        <v>17.8</v>
      </c>
      <c r="G45" s="13">
        <f t="shared" si="4"/>
        <v>60.7</v>
      </c>
      <c r="H45" s="14">
        <v>3</v>
      </c>
      <c r="I45" s="13"/>
      <c r="J45" s="13"/>
      <c r="K45" s="13"/>
      <c r="L45" s="14"/>
      <c r="M45" s="13"/>
      <c r="N45" s="13"/>
      <c r="O45" s="13"/>
      <c r="P45" s="14"/>
      <c r="Q45" s="15">
        <f t="shared" si="1"/>
        <v>3</v>
      </c>
    </row>
    <row r="46" spans="1:17" x14ac:dyDescent="0.25">
      <c r="A46" s="12">
        <v>41</v>
      </c>
      <c r="B46" s="12" t="s">
        <v>80</v>
      </c>
      <c r="C46" s="12" t="s">
        <v>6</v>
      </c>
      <c r="D46" s="13">
        <v>22.7</v>
      </c>
      <c r="E46" s="13">
        <v>17.399999999999999</v>
      </c>
      <c r="F46" s="13">
        <v>16.2</v>
      </c>
      <c r="G46" s="13">
        <f t="shared" si="4"/>
        <v>56.3</v>
      </c>
      <c r="H46" s="14">
        <v>3</v>
      </c>
      <c r="I46" s="13"/>
      <c r="J46" s="13"/>
      <c r="K46" s="13"/>
      <c r="L46" s="14"/>
      <c r="M46" s="13"/>
      <c r="N46" s="13"/>
      <c r="O46" s="13"/>
      <c r="P46" s="14"/>
      <c r="Q46" s="15">
        <f t="shared" si="1"/>
        <v>3</v>
      </c>
    </row>
    <row r="47" spans="1:17" x14ac:dyDescent="0.25">
      <c r="A47" s="12">
        <v>42</v>
      </c>
      <c r="B47" s="16" t="s">
        <v>457</v>
      </c>
      <c r="C47" s="12" t="s">
        <v>7</v>
      </c>
      <c r="D47" s="13"/>
      <c r="E47" s="13"/>
      <c r="F47" s="13"/>
      <c r="G47" s="13"/>
      <c r="H47" s="14"/>
      <c r="I47" s="13"/>
      <c r="J47" s="13"/>
      <c r="K47" s="13"/>
      <c r="L47" s="14"/>
      <c r="M47" s="13"/>
      <c r="N47" s="13"/>
      <c r="O47" s="13"/>
      <c r="P47" s="14"/>
      <c r="Q47" s="15"/>
    </row>
    <row r="48" spans="1:17" x14ac:dyDescent="0.25">
      <c r="A48" s="12">
        <v>43</v>
      </c>
      <c r="B48" s="16" t="s">
        <v>691</v>
      </c>
      <c r="C48" s="12" t="s">
        <v>692</v>
      </c>
      <c r="D48" s="13"/>
      <c r="E48" s="13"/>
      <c r="F48" s="13"/>
      <c r="G48" s="13"/>
      <c r="H48" s="14"/>
      <c r="I48" s="13"/>
      <c r="J48" s="13"/>
      <c r="K48" s="13"/>
      <c r="L48" s="14"/>
      <c r="M48" s="13"/>
      <c r="N48" s="13"/>
      <c r="O48" s="13"/>
      <c r="P48" s="14"/>
      <c r="Q48" s="15"/>
    </row>
  </sheetData>
  <sortState ref="B4:Q46">
    <sortCondition descending="1" ref="Q4:Q46"/>
  </sortState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18.85546875" style="4" customWidth="1"/>
    <col min="4" max="4" width="6.28515625" style="4" customWidth="1"/>
    <col min="5" max="6" width="6.140625" style="4" customWidth="1"/>
    <col min="7" max="7" width="11.42578125" style="4"/>
    <col min="8" max="8" width="18.7109375" style="4" customWidth="1"/>
    <col min="9" max="9" width="6.7109375" style="4" customWidth="1"/>
    <col min="10" max="10" width="6.140625" style="4" customWidth="1"/>
    <col min="11" max="11" width="11.42578125" style="4"/>
    <col min="12" max="12" width="18.85546875" style="4" customWidth="1"/>
    <col min="13" max="13" width="6.85546875" style="4" customWidth="1"/>
    <col min="14" max="14" width="6.7109375" style="4" customWidth="1"/>
    <col min="15" max="15" width="11.42578125" style="4"/>
    <col min="16" max="16" width="19" style="4" customWidth="1"/>
    <col min="17" max="17" width="23.8554687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185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44</v>
      </c>
      <c r="C6" s="12" t="s">
        <v>9</v>
      </c>
      <c r="D6" s="13">
        <v>20.399999999999999</v>
      </c>
      <c r="E6" s="13">
        <v>20.399999999999999</v>
      </c>
      <c r="F6" s="13">
        <v>20.6</v>
      </c>
      <c r="G6" s="13">
        <f>SUM(D6:F6)</f>
        <v>61.4</v>
      </c>
      <c r="H6" s="14">
        <v>23</v>
      </c>
      <c r="I6" s="13">
        <f>3.3+3.2+3.2+4.3+4.2+4.1</f>
        <v>22.299999999999997</v>
      </c>
      <c r="J6" s="13">
        <f>2.7+2.7+2.7+3.8+3.6+3.8</f>
        <v>19.3</v>
      </c>
      <c r="K6" s="13">
        <f>SUM(I6:J6)</f>
        <v>41.599999999999994</v>
      </c>
      <c r="L6" s="14">
        <v>23</v>
      </c>
      <c r="M6" s="13">
        <f>2.9+2.9+2.8+4+3.9+3.9</f>
        <v>20.399999999999999</v>
      </c>
      <c r="N6" s="13">
        <f>3.3+2.9+2.9+4.5+3.9+3.8</f>
        <v>21.3</v>
      </c>
      <c r="O6" s="13">
        <f>M6+N6</f>
        <v>41.7</v>
      </c>
      <c r="P6" s="14">
        <v>23</v>
      </c>
      <c r="Q6" s="15">
        <f t="shared" ref="Q6:Q36" si="0">H6+L6+P6</f>
        <v>69</v>
      </c>
    </row>
    <row r="7" spans="1:17" x14ac:dyDescent="0.25">
      <c r="A7" s="12">
        <v>2</v>
      </c>
      <c r="B7" s="16" t="s">
        <v>455</v>
      </c>
      <c r="C7" s="12" t="s">
        <v>311</v>
      </c>
      <c r="D7" s="13"/>
      <c r="E7" s="13"/>
      <c r="F7" s="13"/>
      <c r="G7" s="13"/>
      <c r="H7" s="14"/>
      <c r="I7" s="13">
        <f>3.2+2.9+3+4.2+3.9+4</f>
        <v>21.2</v>
      </c>
      <c r="J7" s="13">
        <f>2.8+2.6+2.8+3.8+3.7+3.8</f>
        <v>19.5</v>
      </c>
      <c r="K7" s="13">
        <f>SUM(I7:J7)</f>
        <v>40.700000000000003</v>
      </c>
      <c r="L7" s="14">
        <v>18</v>
      </c>
      <c r="M7" s="13">
        <f>2.9+2.9+2.8+3.9+4+3.9</f>
        <v>20.399999999999999</v>
      </c>
      <c r="N7" s="13">
        <f>3.2+2.9+2.7+4+3.8+3.6</f>
        <v>20.200000000000003</v>
      </c>
      <c r="O7" s="13">
        <f>M7+N7</f>
        <v>40.6</v>
      </c>
      <c r="P7" s="14">
        <v>18</v>
      </c>
      <c r="Q7" s="15">
        <f t="shared" si="0"/>
        <v>36</v>
      </c>
    </row>
    <row r="8" spans="1:17" x14ac:dyDescent="0.25">
      <c r="A8" s="12">
        <v>3</v>
      </c>
      <c r="B8" s="16" t="s">
        <v>451</v>
      </c>
      <c r="C8" s="12" t="s">
        <v>397</v>
      </c>
      <c r="D8" s="13"/>
      <c r="E8" s="13"/>
      <c r="F8" s="13"/>
      <c r="G8" s="13"/>
      <c r="H8" s="14"/>
      <c r="I8" s="13">
        <f>3.2+3.1+3+4.1+4+3.8</f>
        <v>21.2</v>
      </c>
      <c r="J8" s="13">
        <f>2.6+2.7+2.6+3.7+3.6+3.7</f>
        <v>18.900000000000002</v>
      </c>
      <c r="K8" s="13">
        <f>SUM(I8:J8)</f>
        <v>40.1</v>
      </c>
      <c r="L8" s="14">
        <v>13</v>
      </c>
      <c r="M8" s="13">
        <f>2.8+2.8+2.8+3.9+3.9+3.8</f>
        <v>20</v>
      </c>
      <c r="N8" s="13">
        <f>2.7+2.8+2.8+3.7+3.6+3.7</f>
        <v>19.3</v>
      </c>
      <c r="O8" s="13">
        <f>M8+N8</f>
        <v>39.299999999999997</v>
      </c>
      <c r="P8" s="14">
        <v>13</v>
      </c>
      <c r="Q8" s="15">
        <f t="shared" si="0"/>
        <v>26</v>
      </c>
    </row>
    <row r="9" spans="1:17" x14ac:dyDescent="0.25">
      <c r="A9" s="12">
        <v>4</v>
      </c>
      <c r="B9" s="12" t="s">
        <v>48</v>
      </c>
      <c r="C9" s="12" t="s">
        <v>67</v>
      </c>
      <c r="D9" s="13">
        <v>17.899999999999999</v>
      </c>
      <c r="E9" s="13">
        <v>17.600000000000001</v>
      </c>
      <c r="F9" s="13">
        <v>15.2</v>
      </c>
      <c r="G9" s="13">
        <f>SUM(D9:F9)</f>
        <v>50.7</v>
      </c>
      <c r="H9" s="14">
        <v>13</v>
      </c>
      <c r="I9" s="13">
        <f>2.7+2.8+2.9+3.7+3.9+3.8</f>
        <v>19.8</v>
      </c>
      <c r="J9" s="13">
        <f>2.5+2.4+2.3+3.5+3.4+3.3</f>
        <v>17.399999999999999</v>
      </c>
      <c r="K9" s="13">
        <f>SUM(I9:J9)</f>
        <v>37.200000000000003</v>
      </c>
      <c r="L9" s="14">
        <v>3</v>
      </c>
      <c r="M9" s="13">
        <f>2.8+2.8+2.8+3.8+3.8+3.8</f>
        <v>19.8</v>
      </c>
      <c r="N9" s="13">
        <f>2.7+2.6+2.4+3.7+3.5+3.5</f>
        <v>18.400000000000002</v>
      </c>
      <c r="O9" s="13">
        <f>M9+N9</f>
        <v>38.200000000000003</v>
      </c>
      <c r="P9" s="14">
        <v>3</v>
      </c>
      <c r="Q9" s="15">
        <f t="shared" si="0"/>
        <v>19</v>
      </c>
    </row>
    <row r="10" spans="1:17" x14ac:dyDescent="0.25">
      <c r="A10" s="12">
        <v>5</v>
      </c>
      <c r="B10" s="12" t="s">
        <v>45</v>
      </c>
      <c r="C10" s="12" t="s">
        <v>7</v>
      </c>
      <c r="D10" s="13">
        <v>18.600000000000001</v>
      </c>
      <c r="E10" s="13">
        <v>17.7</v>
      </c>
      <c r="F10" s="13">
        <v>15.7</v>
      </c>
      <c r="G10" s="13">
        <f>SUM(D10:F10)</f>
        <v>52</v>
      </c>
      <c r="H10" s="14">
        <v>18</v>
      </c>
      <c r="I10" s="13"/>
      <c r="J10" s="13"/>
      <c r="K10" s="13"/>
      <c r="L10" s="14"/>
      <c r="M10" s="13"/>
      <c r="N10" s="13"/>
      <c r="O10" s="13"/>
      <c r="P10" s="14"/>
      <c r="Q10" s="15">
        <f t="shared" si="0"/>
        <v>18</v>
      </c>
    </row>
    <row r="11" spans="1:17" x14ac:dyDescent="0.25">
      <c r="A11" s="12">
        <v>6</v>
      </c>
      <c r="B11" s="16" t="s">
        <v>452</v>
      </c>
      <c r="C11" s="12" t="s">
        <v>397</v>
      </c>
      <c r="D11" s="13"/>
      <c r="E11" s="13"/>
      <c r="F11" s="13"/>
      <c r="G11" s="13"/>
      <c r="H11" s="14"/>
      <c r="I11" s="13">
        <f>2.8+2.9+2.8+3.8+3.9+3.9</f>
        <v>20.099999999999998</v>
      </c>
      <c r="J11" s="13">
        <f>2.6+2.4+2.3+3.6+3.5+3.4</f>
        <v>17.8</v>
      </c>
      <c r="K11" s="13">
        <f>SUM(I11:J11)</f>
        <v>37.9</v>
      </c>
      <c r="L11" s="14">
        <v>3</v>
      </c>
      <c r="M11" s="13">
        <f>2.8+2.7+2.8+3.8+3.8+3.8</f>
        <v>19.700000000000003</v>
      </c>
      <c r="N11" s="13">
        <f>2.7+2.6+2.5+3.9+3.5+3.4</f>
        <v>18.600000000000001</v>
      </c>
      <c r="O11" s="13">
        <f>M11+N11</f>
        <v>38.300000000000004</v>
      </c>
      <c r="P11" s="14">
        <v>13</v>
      </c>
      <c r="Q11" s="15">
        <f t="shared" si="0"/>
        <v>16</v>
      </c>
    </row>
    <row r="12" spans="1:17" x14ac:dyDescent="0.25">
      <c r="A12" s="12">
        <v>7</v>
      </c>
      <c r="B12" s="12" t="s">
        <v>46</v>
      </c>
      <c r="C12" s="12" t="s">
        <v>7</v>
      </c>
      <c r="D12" s="13">
        <v>18</v>
      </c>
      <c r="E12" s="13">
        <v>17.5</v>
      </c>
      <c r="F12" s="13">
        <v>15.4</v>
      </c>
      <c r="G12" s="13">
        <f>SUM(D12:F12)</f>
        <v>50.9</v>
      </c>
      <c r="H12" s="14">
        <v>13</v>
      </c>
      <c r="I12" s="13"/>
      <c r="J12" s="13"/>
      <c r="K12" s="13"/>
      <c r="L12" s="14"/>
      <c r="M12" s="13">
        <f>2.7+2.7+2.8+3.8+3.6+3.7</f>
        <v>19.3</v>
      </c>
      <c r="N12" s="13">
        <f>2.6+2.4+2.5+3.8+3.4+3.4</f>
        <v>18.100000000000001</v>
      </c>
      <c r="O12" s="13">
        <f>M12+N12</f>
        <v>37.400000000000006</v>
      </c>
      <c r="P12" s="14">
        <v>3</v>
      </c>
      <c r="Q12" s="15">
        <f t="shared" si="0"/>
        <v>16</v>
      </c>
    </row>
    <row r="13" spans="1:17" x14ac:dyDescent="0.25">
      <c r="A13" s="12">
        <v>8</v>
      </c>
      <c r="B13" s="16" t="s">
        <v>454</v>
      </c>
      <c r="C13" s="12" t="s">
        <v>82</v>
      </c>
      <c r="D13" s="13"/>
      <c r="E13" s="13"/>
      <c r="F13" s="13"/>
      <c r="G13" s="13"/>
      <c r="H13" s="14"/>
      <c r="I13" s="13">
        <f>2.8+2.8+3+3.6+3.7+3.8</f>
        <v>19.7</v>
      </c>
      <c r="J13" s="13">
        <f>2.7+2.7+2.6+3.7+3.7+3.6</f>
        <v>19</v>
      </c>
      <c r="K13" s="13">
        <f t="shared" ref="K13:K24" si="1">SUM(I13:J13)</f>
        <v>38.700000000000003</v>
      </c>
      <c r="L13" s="14">
        <v>13</v>
      </c>
      <c r="M13" s="13"/>
      <c r="N13" s="13"/>
      <c r="O13" s="13"/>
      <c r="P13" s="14"/>
      <c r="Q13" s="15">
        <f t="shared" si="0"/>
        <v>13</v>
      </c>
    </row>
    <row r="14" spans="1:17" x14ac:dyDescent="0.25">
      <c r="A14" s="12">
        <v>9</v>
      </c>
      <c r="B14" s="12" t="s">
        <v>38</v>
      </c>
      <c r="C14" s="12" t="s">
        <v>5</v>
      </c>
      <c r="D14" s="13">
        <v>17.8</v>
      </c>
      <c r="E14" s="13">
        <v>15.4</v>
      </c>
      <c r="F14" s="13">
        <v>13.5</v>
      </c>
      <c r="G14" s="13">
        <f>SUM(D14:F14)</f>
        <v>46.7</v>
      </c>
      <c r="H14" s="14">
        <v>3</v>
      </c>
      <c r="I14" s="13">
        <f>3+2.8+2.8+3.9+3.8+3.7</f>
        <v>20</v>
      </c>
      <c r="J14" s="13">
        <f>2.5+2.4+2.5+3.5+3.4+3.5</f>
        <v>17.8</v>
      </c>
      <c r="K14" s="13">
        <f t="shared" si="1"/>
        <v>37.799999999999997</v>
      </c>
      <c r="L14" s="14">
        <v>3</v>
      </c>
      <c r="M14" s="13">
        <f>2.8+2.8+2.7+3.8+3.7+3.6</f>
        <v>19.400000000000002</v>
      </c>
      <c r="N14" s="13">
        <f>2.7+2.8+2.5+3.7+3.6+3.5</f>
        <v>18.799999999999997</v>
      </c>
      <c r="O14" s="13">
        <f t="shared" ref="O14:O20" si="2">M14+N14</f>
        <v>38.200000000000003</v>
      </c>
      <c r="P14" s="14">
        <v>3</v>
      </c>
      <c r="Q14" s="15">
        <f t="shared" si="0"/>
        <v>9</v>
      </c>
    </row>
    <row r="15" spans="1:17" x14ac:dyDescent="0.25">
      <c r="A15" s="12">
        <v>10</v>
      </c>
      <c r="B15" s="12" t="s">
        <v>47</v>
      </c>
      <c r="C15" s="12" t="s">
        <v>15</v>
      </c>
      <c r="D15" s="13">
        <v>19.100000000000001</v>
      </c>
      <c r="E15" s="13">
        <v>18.100000000000001</v>
      </c>
      <c r="F15" s="13">
        <v>13.4</v>
      </c>
      <c r="G15" s="13">
        <f>SUM(D15:F15)</f>
        <v>50.6</v>
      </c>
      <c r="H15" s="14">
        <v>3</v>
      </c>
      <c r="I15" s="13">
        <f>2.7+2.8+2.9+3.7+3.7+3.9</f>
        <v>19.7</v>
      </c>
      <c r="J15" s="13">
        <f>2.3+2.4+2.3+3.3+3.3+3.3</f>
        <v>16.899999999999999</v>
      </c>
      <c r="K15" s="13">
        <f t="shared" si="1"/>
        <v>36.599999999999994</v>
      </c>
      <c r="L15" s="14">
        <v>3</v>
      </c>
      <c r="M15" s="13">
        <f>2.7+2.8+2.8+3.7+3.7+3.7</f>
        <v>19.399999999999999</v>
      </c>
      <c r="N15" s="13">
        <f>2.7+2.5+2.6+3.7+3.4+3.6</f>
        <v>18.5</v>
      </c>
      <c r="O15" s="13">
        <f t="shared" si="2"/>
        <v>37.9</v>
      </c>
      <c r="P15" s="14">
        <v>3</v>
      </c>
      <c r="Q15" s="15">
        <f t="shared" si="0"/>
        <v>9</v>
      </c>
    </row>
    <row r="16" spans="1:17" x14ac:dyDescent="0.25">
      <c r="A16" s="12">
        <v>11</v>
      </c>
      <c r="B16" s="12" t="s">
        <v>40</v>
      </c>
      <c r="C16" s="12" t="s">
        <v>12</v>
      </c>
      <c r="D16" s="13">
        <v>17.2</v>
      </c>
      <c r="E16" s="13">
        <v>16.3</v>
      </c>
      <c r="F16" s="13">
        <v>12.9</v>
      </c>
      <c r="G16" s="13">
        <f>SUM(D16:F16)</f>
        <v>46.4</v>
      </c>
      <c r="H16" s="14">
        <v>3</v>
      </c>
      <c r="I16" s="13">
        <f>2.6+2.6+2.6+3.4+3.4+3.3</f>
        <v>17.900000000000002</v>
      </c>
      <c r="J16" s="13">
        <f>2.4+2.4+2.4+4.2+4+4</f>
        <v>19.399999999999999</v>
      </c>
      <c r="K16" s="13">
        <f t="shared" si="1"/>
        <v>37.299999999999997</v>
      </c>
      <c r="L16" s="14">
        <v>3</v>
      </c>
      <c r="M16" s="13">
        <f>2.7+2.7+2.8+3.7+3.9+3.7</f>
        <v>19.5</v>
      </c>
      <c r="N16" s="13">
        <f>2.7+2.5+2.6+3.6+3.4+3.5</f>
        <v>18.3</v>
      </c>
      <c r="O16" s="13">
        <f t="shared" si="2"/>
        <v>37.799999999999997</v>
      </c>
      <c r="P16" s="14">
        <v>3</v>
      </c>
      <c r="Q16" s="15">
        <f t="shared" si="0"/>
        <v>9</v>
      </c>
    </row>
    <row r="17" spans="1:17" x14ac:dyDescent="0.25">
      <c r="A17" s="12">
        <v>12</v>
      </c>
      <c r="B17" s="12" t="s">
        <v>54</v>
      </c>
      <c r="C17" s="12" t="s">
        <v>53</v>
      </c>
      <c r="D17" s="13">
        <v>17.2</v>
      </c>
      <c r="E17" s="13">
        <v>17.100000000000001</v>
      </c>
      <c r="F17" s="13">
        <v>14.4</v>
      </c>
      <c r="G17" s="13">
        <f>SUM(D17:F17)</f>
        <v>48.699999999999996</v>
      </c>
      <c r="H17" s="14">
        <v>3</v>
      </c>
      <c r="I17" s="13">
        <f>2.8+2.8+2.8+3.7+3.9+3.6</f>
        <v>19.599999999999998</v>
      </c>
      <c r="J17" s="13">
        <f>2.3+2.3+2.3+3.5+3.2+3.2</f>
        <v>16.799999999999997</v>
      </c>
      <c r="K17" s="13">
        <f t="shared" si="1"/>
        <v>36.399999999999991</v>
      </c>
      <c r="L17" s="14">
        <v>3</v>
      </c>
      <c r="M17" s="13">
        <f>2.7+2.6+2.8+3.7+3.6+3.7</f>
        <v>19.100000000000001</v>
      </c>
      <c r="N17" s="13">
        <f>2.6+2.6+2.6+3.7+3.5+3.5</f>
        <v>18.5</v>
      </c>
      <c r="O17" s="13">
        <f t="shared" si="2"/>
        <v>37.6</v>
      </c>
      <c r="P17" s="14">
        <v>3</v>
      </c>
      <c r="Q17" s="15">
        <f t="shared" si="0"/>
        <v>9</v>
      </c>
    </row>
    <row r="18" spans="1:17" x14ac:dyDescent="0.25">
      <c r="A18" s="12">
        <v>13</v>
      </c>
      <c r="B18" s="12" t="s">
        <v>52</v>
      </c>
      <c r="C18" s="12" t="s">
        <v>53</v>
      </c>
      <c r="D18" s="13">
        <v>18.3</v>
      </c>
      <c r="E18" s="13">
        <v>18</v>
      </c>
      <c r="F18" s="13">
        <v>14.1</v>
      </c>
      <c r="G18" s="13">
        <f>SUM(D18:F18)</f>
        <v>50.4</v>
      </c>
      <c r="H18" s="14">
        <v>3</v>
      </c>
      <c r="I18" s="13">
        <f>3+2.9+2.9+3.8+3.8+3.8</f>
        <v>20.200000000000003</v>
      </c>
      <c r="J18" s="13">
        <f>2.3+2.3+2.3+3.4+3.3+3.2</f>
        <v>16.799999999999997</v>
      </c>
      <c r="K18" s="13">
        <f t="shared" si="1"/>
        <v>37</v>
      </c>
      <c r="L18" s="14">
        <v>3</v>
      </c>
      <c r="M18" s="13">
        <f>2.7+2.7+2.8+3.6+3.7+3.7</f>
        <v>19.2</v>
      </c>
      <c r="N18" s="13">
        <f>2.4+2.5+2.4+3.4+3.4+3.4</f>
        <v>17.5</v>
      </c>
      <c r="O18" s="13">
        <f t="shared" si="2"/>
        <v>36.700000000000003</v>
      </c>
      <c r="P18" s="14">
        <v>3</v>
      </c>
      <c r="Q18" s="15">
        <f t="shared" si="0"/>
        <v>9</v>
      </c>
    </row>
    <row r="19" spans="1:17" x14ac:dyDescent="0.25">
      <c r="A19" s="12">
        <v>14</v>
      </c>
      <c r="B19" s="16" t="s">
        <v>453</v>
      </c>
      <c r="C19" s="12" t="s">
        <v>82</v>
      </c>
      <c r="D19" s="13"/>
      <c r="E19" s="13"/>
      <c r="F19" s="13"/>
      <c r="G19" s="13"/>
      <c r="H19" s="14"/>
      <c r="I19" s="13">
        <f>2.7+2.7+2.7+3.7+3.6+3.8</f>
        <v>19.2</v>
      </c>
      <c r="J19" s="13">
        <f>2.4+2.2+2.3+3.3+3.3+3.5</f>
        <v>17</v>
      </c>
      <c r="K19" s="13">
        <f t="shared" si="1"/>
        <v>36.200000000000003</v>
      </c>
      <c r="L19" s="14">
        <v>3</v>
      </c>
      <c r="M19" s="13">
        <f>2.6+2.7+2.7+3.7+3.7+3.7</f>
        <v>19.099999999999998</v>
      </c>
      <c r="N19" s="13">
        <f>2.7+2.5+2.3+3.8+3.5+3.2</f>
        <v>18</v>
      </c>
      <c r="O19" s="13">
        <f t="shared" si="2"/>
        <v>37.099999999999994</v>
      </c>
      <c r="P19" s="14">
        <v>3</v>
      </c>
      <c r="Q19" s="15">
        <f t="shared" si="0"/>
        <v>6</v>
      </c>
    </row>
    <row r="20" spans="1:17" x14ac:dyDescent="0.25">
      <c r="A20" s="12">
        <v>15</v>
      </c>
      <c r="B20" s="16" t="s">
        <v>448</v>
      </c>
      <c r="C20" s="12" t="s">
        <v>67</v>
      </c>
      <c r="D20" s="13"/>
      <c r="E20" s="13"/>
      <c r="F20" s="13"/>
      <c r="G20" s="13"/>
      <c r="H20" s="14"/>
      <c r="I20" s="13">
        <f>2.8+2.6+2.8+3.8+3.7+3.7</f>
        <v>19.399999999999999</v>
      </c>
      <c r="J20" s="13">
        <f>2.3+2.3+2.4+3.4+3.3+3.4</f>
        <v>17.099999999999998</v>
      </c>
      <c r="K20" s="13">
        <f t="shared" si="1"/>
        <v>36.5</v>
      </c>
      <c r="L20" s="14">
        <v>3</v>
      </c>
      <c r="M20" s="13">
        <f>2.6+2.7+2.7+3.7+3.7+3.7</f>
        <v>19.099999999999998</v>
      </c>
      <c r="N20" s="13">
        <f>2.7+2.5+2.2+3.6+3.4+3.3</f>
        <v>17.7</v>
      </c>
      <c r="O20" s="13">
        <f t="shared" si="2"/>
        <v>36.799999999999997</v>
      </c>
      <c r="P20" s="14">
        <v>3</v>
      </c>
      <c r="Q20" s="15">
        <f t="shared" si="0"/>
        <v>6</v>
      </c>
    </row>
    <row r="21" spans="1:17" x14ac:dyDescent="0.25">
      <c r="A21" s="12">
        <v>16</v>
      </c>
      <c r="B21" s="12" t="s">
        <v>49</v>
      </c>
      <c r="C21" s="12" t="s">
        <v>50</v>
      </c>
      <c r="D21" s="13">
        <v>16.600000000000001</v>
      </c>
      <c r="E21" s="13">
        <v>16.8</v>
      </c>
      <c r="F21" s="13">
        <v>14.4</v>
      </c>
      <c r="G21" s="13">
        <f>SUM(D21:F21)</f>
        <v>47.800000000000004</v>
      </c>
      <c r="H21" s="14">
        <v>3</v>
      </c>
      <c r="I21" s="13">
        <f>2.7+2.7+2.7+3.6+3.7+3.7</f>
        <v>19.100000000000001</v>
      </c>
      <c r="J21" s="13">
        <f>2.5+2.5+2.4+3.6+3.6+3.5</f>
        <v>18.100000000000001</v>
      </c>
      <c r="K21" s="13">
        <f t="shared" si="1"/>
        <v>37.200000000000003</v>
      </c>
      <c r="L21" s="14">
        <v>3</v>
      </c>
      <c r="M21" s="13"/>
      <c r="N21" s="13"/>
      <c r="O21" s="13"/>
      <c r="P21" s="14"/>
      <c r="Q21" s="15">
        <f t="shared" si="0"/>
        <v>6</v>
      </c>
    </row>
    <row r="22" spans="1:17" x14ac:dyDescent="0.25">
      <c r="A22" s="12">
        <v>17</v>
      </c>
      <c r="B22" s="12" t="s">
        <v>51</v>
      </c>
      <c r="C22" s="12" t="s">
        <v>26</v>
      </c>
      <c r="D22" s="13">
        <v>17.7</v>
      </c>
      <c r="E22" s="13">
        <v>16.8</v>
      </c>
      <c r="F22" s="13">
        <v>13.7</v>
      </c>
      <c r="G22" s="13">
        <f>SUM(D22:F22)</f>
        <v>48.2</v>
      </c>
      <c r="H22" s="14">
        <v>3</v>
      </c>
      <c r="I22" s="13">
        <f>2.7+2.7+2.6+3.6+3.7+3.6</f>
        <v>18.900000000000002</v>
      </c>
      <c r="J22" s="13">
        <f>2.5+2.4+2.2+3.5+3.4+3.3</f>
        <v>17.3</v>
      </c>
      <c r="K22" s="13">
        <f t="shared" si="1"/>
        <v>36.200000000000003</v>
      </c>
      <c r="L22" s="14">
        <v>3</v>
      </c>
      <c r="M22" s="13"/>
      <c r="N22" s="13"/>
      <c r="O22" s="13"/>
      <c r="P22" s="14"/>
      <c r="Q22" s="15">
        <f t="shared" si="0"/>
        <v>6</v>
      </c>
    </row>
    <row r="23" spans="1:17" x14ac:dyDescent="0.25">
      <c r="A23" s="12">
        <v>18</v>
      </c>
      <c r="B23" s="12" t="s">
        <v>41</v>
      </c>
      <c r="C23" s="12" t="s">
        <v>6</v>
      </c>
      <c r="D23" s="13">
        <v>15.9</v>
      </c>
      <c r="E23" s="13">
        <v>16.5</v>
      </c>
      <c r="F23" s="13">
        <v>13.6</v>
      </c>
      <c r="G23" s="13">
        <f>SUM(D23:F23)</f>
        <v>46</v>
      </c>
      <c r="H23" s="14">
        <v>3</v>
      </c>
      <c r="I23" s="13">
        <f>2.6+2.6+2.6+3.6+3.6+3.6</f>
        <v>18.600000000000001</v>
      </c>
      <c r="J23" s="13">
        <f>2.4+2.3+2.3+3.3+3.3+3.3</f>
        <v>16.899999999999999</v>
      </c>
      <c r="K23" s="13">
        <f t="shared" si="1"/>
        <v>35.5</v>
      </c>
      <c r="L23" s="14">
        <v>3</v>
      </c>
      <c r="M23" s="13"/>
      <c r="N23" s="13"/>
      <c r="O23" s="13"/>
      <c r="P23" s="14"/>
      <c r="Q23" s="15">
        <f t="shared" si="0"/>
        <v>6</v>
      </c>
    </row>
    <row r="24" spans="1:17" x14ac:dyDescent="0.25">
      <c r="A24" s="12">
        <v>19</v>
      </c>
      <c r="B24" s="12" t="s">
        <v>39</v>
      </c>
      <c r="C24" s="12" t="s">
        <v>12</v>
      </c>
      <c r="D24" s="13">
        <v>16.7</v>
      </c>
      <c r="E24" s="13">
        <v>15.9</v>
      </c>
      <c r="F24" s="13">
        <v>13.1</v>
      </c>
      <c r="G24" s="13">
        <f>SUM(D24:F24)</f>
        <v>45.7</v>
      </c>
      <c r="H24" s="14">
        <v>3</v>
      </c>
      <c r="I24" s="13">
        <f>2.6+2.6+2.6+3.5+3.6+3.6</f>
        <v>18.5</v>
      </c>
      <c r="J24" s="13">
        <f>2.2+2+2+3.3+3.1+3.1</f>
        <v>15.7</v>
      </c>
      <c r="K24" s="13">
        <f t="shared" si="1"/>
        <v>34.200000000000003</v>
      </c>
      <c r="L24" s="14">
        <v>3</v>
      </c>
      <c r="M24" s="13"/>
      <c r="N24" s="13"/>
      <c r="O24" s="13"/>
      <c r="P24" s="14"/>
      <c r="Q24" s="15">
        <f t="shared" si="0"/>
        <v>6</v>
      </c>
    </row>
    <row r="25" spans="1:17" x14ac:dyDescent="0.25">
      <c r="A25" s="12">
        <v>20</v>
      </c>
      <c r="B25" s="16" t="s">
        <v>701</v>
      </c>
      <c r="C25" s="12" t="s">
        <v>82</v>
      </c>
      <c r="D25" s="13"/>
      <c r="E25" s="13"/>
      <c r="F25" s="13"/>
      <c r="G25" s="13"/>
      <c r="H25" s="14"/>
      <c r="I25" s="13"/>
      <c r="J25" s="13"/>
      <c r="K25" s="13"/>
      <c r="L25" s="14"/>
      <c r="M25" s="13">
        <f>2.8+2.7+2.8+3.7+3.7+3.8</f>
        <v>19.5</v>
      </c>
      <c r="N25" s="13">
        <f>2.6+2.6+2.4+3.7+3.6+3.4</f>
        <v>18.3</v>
      </c>
      <c r="O25" s="13">
        <f t="shared" ref="O25:O31" si="3">M25+N25</f>
        <v>37.799999999999997</v>
      </c>
      <c r="P25" s="14">
        <v>3</v>
      </c>
      <c r="Q25" s="15">
        <f t="shared" si="0"/>
        <v>3</v>
      </c>
    </row>
    <row r="26" spans="1:17" x14ac:dyDescent="0.25">
      <c r="A26" s="12">
        <v>21</v>
      </c>
      <c r="B26" s="16" t="s">
        <v>708</v>
      </c>
      <c r="C26" s="12" t="s">
        <v>397</v>
      </c>
      <c r="D26" s="13"/>
      <c r="E26" s="13"/>
      <c r="F26" s="13"/>
      <c r="G26" s="13"/>
      <c r="H26" s="14"/>
      <c r="I26" s="13"/>
      <c r="J26" s="13"/>
      <c r="K26" s="13"/>
      <c r="L26" s="14"/>
      <c r="M26" s="13">
        <f>2.8+2.7+2.8+3.7+3.6+3.7</f>
        <v>19.3</v>
      </c>
      <c r="N26" s="13">
        <f>2.6+2.5+2.5+3.6+3.4+3.4</f>
        <v>18</v>
      </c>
      <c r="O26" s="13">
        <f t="shared" si="3"/>
        <v>37.299999999999997</v>
      </c>
      <c r="P26" s="14">
        <v>3</v>
      </c>
      <c r="Q26" s="15">
        <f t="shared" si="0"/>
        <v>3</v>
      </c>
    </row>
    <row r="27" spans="1:17" x14ac:dyDescent="0.25">
      <c r="A27" s="12">
        <v>22</v>
      </c>
      <c r="B27" s="16" t="s">
        <v>705</v>
      </c>
      <c r="C27" s="12" t="s">
        <v>704</v>
      </c>
      <c r="D27" s="13"/>
      <c r="E27" s="13"/>
      <c r="F27" s="13"/>
      <c r="G27" s="13"/>
      <c r="H27" s="14"/>
      <c r="I27" s="13"/>
      <c r="J27" s="13"/>
      <c r="K27" s="13"/>
      <c r="L27" s="14"/>
      <c r="M27" s="13">
        <f>2.6+2.6+2.6+3.7+3.6+3.5</f>
        <v>18.600000000000001</v>
      </c>
      <c r="N27" s="13">
        <f>2.6+2.4+2.5+3.6+3.5+3.5</f>
        <v>18.100000000000001</v>
      </c>
      <c r="O27" s="13">
        <f t="shared" si="3"/>
        <v>36.700000000000003</v>
      </c>
      <c r="P27" s="14">
        <v>3</v>
      </c>
      <c r="Q27" s="15">
        <f t="shared" si="0"/>
        <v>3</v>
      </c>
    </row>
    <row r="28" spans="1:17" x14ac:dyDescent="0.25">
      <c r="A28" s="12">
        <v>24</v>
      </c>
      <c r="B28" s="16" t="s">
        <v>703</v>
      </c>
      <c r="C28" s="12" t="s">
        <v>704</v>
      </c>
      <c r="D28" s="13"/>
      <c r="E28" s="13"/>
      <c r="F28" s="13"/>
      <c r="G28" s="13"/>
      <c r="H28" s="14"/>
      <c r="I28" s="13"/>
      <c r="J28" s="13"/>
      <c r="K28" s="13"/>
      <c r="L28" s="14"/>
      <c r="M28" s="13">
        <f>2.7+2.6+2.6+3.8+3.6+3.7</f>
        <v>19</v>
      </c>
      <c r="N28" s="13">
        <f>2.5+2.3+2.3+3.6+3.4+3.4</f>
        <v>17.5</v>
      </c>
      <c r="O28" s="13">
        <f t="shared" si="3"/>
        <v>36.5</v>
      </c>
      <c r="P28" s="14">
        <v>3</v>
      </c>
      <c r="Q28" s="15">
        <f t="shared" si="0"/>
        <v>3</v>
      </c>
    </row>
    <row r="29" spans="1:17" x14ac:dyDescent="0.25">
      <c r="A29" s="12">
        <v>25</v>
      </c>
      <c r="B29" s="16" t="s">
        <v>702</v>
      </c>
      <c r="C29" s="12" t="s">
        <v>677</v>
      </c>
      <c r="D29" s="13"/>
      <c r="E29" s="13"/>
      <c r="F29" s="13"/>
      <c r="G29" s="13"/>
      <c r="H29" s="14"/>
      <c r="I29" s="13"/>
      <c r="J29" s="13"/>
      <c r="K29" s="13"/>
      <c r="L29" s="14"/>
      <c r="M29" s="13">
        <f>2.6+2.6+2.6+3.6+3.5+3.5</f>
        <v>18.399999999999999</v>
      </c>
      <c r="N29" s="13">
        <f>2.2+2.5+2.5+3.2+3.5+3.5</f>
        <v>17.399999999999999</v>
      </c>
      <c r="O29" s="13">
        <f t="shared" si="3"/>
        <v>35.799999999999997</v>
      </c>
      <c r="P29" s="14">
        <v>3</v>
      </c>
      <c r="Q29" s="15">
        <f t="shared" si="0"/>
        <v>3</v>
      </c>
    </row>
    <row r="30" spans="1:17" x14ac:dyDescent="0.25">
      <c r="A30" s="12">
        <v>26</v>
      </c>
      <c r="B30" s="16" t="s">
        <v>706</v>
      </c>
      <c r="C30" s="12" t="s">
        <v>704</v>
      </c>
      <c r="D30" s="13"/>
      <c r="E30" s="13"/>
      <c r="F30" s="13"/>
      <c r="G30" s="13"/>
      <c r="H30" s="14"/>
      <c r="I30" s="13"/>
      <c r="J30" s="13"/>
      <c r="K30" s="13"/>
      <c r="L30" s="14"/>
      <c r="M30" s="13">
        <f>2.5+2.6+2.6+3.7+3.5+3.5</f>
        <v>18.399999999999999</v>
      </c>
      <c r="N30" s="13">
        <f>2.6+2.3+2.3+3.6+3.4+3.1</f>
        <v>17.3</v>
      </c>
      <c r="O30" s="13">
        <f t="shared" si="3"/>
        <v>35.700000000000003</v>
      </c>
      <c r="P30" s="14">
        <v>3</v>
      </c>
      <c r="Q30" s="15">
        <f t="shared" si="0"/>
        <v>3</v>
      </c>
    </row>
    <row r="31" spans="1:17" x14ac:dyDescent="0.25">
      <c r="A31" s="12">
        <v>27</v>
      </c>
      <c r="B31" s="16" t="s">
        <v>707</v>
      </c>
      <c r="C31" s="12" t="s">
        <v>7</v>
      </c>
      <c r="D31" s="13"/>
      <c r="E31" s="13"/>
      <c r="F31" s="13"/>
      <c r="G31" s="13"/>
      <c r="H31" s="14"/>
      <c r="I31" s="13"/>
      <c r="J31" s="13"/>
      <c r="K31" s="13"/>
      <c r="L31" s="14"/>
      <c r="M31" s="13">
        <f>2.1+2.2+2.2+3.1+3.1+3.2</f>
        <v>15.900000000000002</v>
      </c>
      <c r="N31" s="13">
        <f>2.4+2.4+2.3+3.4+3.3+3.3</f>
        <v>17.100000000000001</v>
      </c>
      <c r="O31" s="13">
        <f t="shared" si="3"/>
        <v>33</v>
      </c>
      <c r="P31" s="14">
        <v>3</v>
      </c>
      <c r="Q31" s="15">
        <f t="shared" si="0"/>
        <v>3</v>
      </c>
    </row>
    <row r="32" spans="1:17" x14ac:dyDescent="0.25">
      <c r="A32" s="12">
        <v>28</v>
      </c>
      <c r="B32" s="16" t="s">
        <v>97</v>
      </c>
      <c r="C32" s="12" t="s">
        <v>6</v>
      </c>
      <c r="D32" s="13"/>
      <c r="E32" s="13"/>
      <c r="F32" s="13"/>
      <c r="G32" s="13"/>
      <c r="H32" s="14"/>
      <c r="I32" s="13">
        <f>3.1+2.7+2.9+3.9+3.8+3.8</f>
        <v>20.200000000000003</v>
      </c>
      <c r="J32" s="13">
        <f>2.7+2.5+2.6+3.7+3.4+3.5</f>
        <v>18.399999999999999</v>
      </c>
      <c r="K32" s="13">
        <f>SUM(I32:J32)</f>
        <v>38.6</v>
      </c>
      <c r="L32" s="14">
        <v>3</v>
      </c>
      <c r="M32" s="13"/>
      <c r="N32" s="13"/>
      <c r="O32" s="13"/>
      <c r="P32" s="14"/>
      <c r="Q32" s="15">
        <f t="shared" si="0"/>
        <v>3</v>
      </c>
    </row>
    <row r="33" spans="1:17" x14ac:dyDescent="0.25">
      <c r="A33" s="12">
        <v>29</v>
      </c>
      <c r="B33" s="16" t="s">
        <v>456</v>
      </c>
      <c r="C33" s="12" t="s">
        <v>311</v>
      </c>
      <c r="D33" s="13"/>
      <c r="E33" s="13"/>
      <c r="F33" s="13"/>
      <c r="G33" s="13"/>
      <c r="H33" s="14"/>
      <c r="I33" s="13">
        <f>2.7+2.8+2.7+3.6+3.9+3.7</f>
        <v>19.399999999999999</v>
      </c>
      <c r="J33" s="13">
        <f>2.6+2.4+2.4+3.5+3.4+3.5</f>
        <v>17.8</v>
      </c>
      <c r="K33" s="13">
        <f>SUM(I33:J33)</f>
        <v>37.200000000000003</v>
      </c>
      <c r="L33" s="14">
        <v>3</v>
      </c>
      <c r="M33" s="13"/>
      <c r="N33" s="13"/>
      <c r="O33" s="13"/>
      <c r="P33" s="14"/>
      <c r="Q33" s="15">
        <f t="shared" si="0"/>
        <v>3</v>
      </c>
    </row>
    <row r="34" spans="1:17" x14ac:dyDescent="0.25">
      <c r="A34" s="12">
        <v>30</v>
      </c>
      <c r="B34" s="16" t="s">
        <v>450</v>
      </c>
      <c r="C34" s="12" t="s">
        <v>82</v>
      </c>
      <c r="D34" s="13"/>
      <c r="E34" s="13"/>
      <c r="F34" s="13"/>
      <c r="G34" s="13"/>
      <c r="H34" s="14"/>
      <c r="I34" s="13">
        <f>2.6+2.6+2.6+3.6+3.6+3.6</f>
        <v>18.600000000000001</v>
      </c>
      <c r="J34" s="13">
        <f>2.4+2.2+2.3+3.3+3.2+3.2</f>
        <v>16.599999999999998</v>
      </c>
      <c r="K34" s="13">
        <f>SUM(I34:J34)</f>
        <v>35.200000000000003</v>
      </c>
      <c r="L34" s="14">
        <v>3</v>
      </c>
      <c r="M34" s="13"/>
      <c r="N34" s="13"/>
      <c r="O34" s="13"/>
      <c r="P34" s="14"/>
      <c r="Q34" s="15">
        <f t="shared" si="0"/>
        <v>3</v>
      </c>
    </row>
    <row r="35" spans="1:17" x14ac:dyDescent="0.25">
      <c r="A35" s="12">
        <v>31</v>
      </c>
      <c r="B35" s="16" t="s">
        <v>447</v>
      </c>
      <c r="C35" s="12" t="s">
        <v>12</v>
      </c>
      <c r="D35" s="13"/>
      <c r="E35" s="13"/>
      <c r="F35" s="13"/>
      <c r="G35" s="13"/>
      <c r="H35" s="14"/>
      <c r="I35" s="13">
        <f>2.6+2.7+2.6+3.5+3.5+3.5</f>
        <v>18.399999999999999</v>
      </c>
      <c r="J35" s="13">
        <f>2.1+2.1+2+3.2+3.1+3</f>
        <v>15.5</v>
      </c>
      <c r="K35" s="13">
        <f>SUM(I35:J35)</f>
        <v>33.9</v>
      </c>
      <c r="L35" s="14">
        <v>3</v>
      </c>
      <c r="M35" s="13"/>
      <c r="N35" s="13"/>
      <c r="O35" s="13"/>
      <c r="P35" s="14"/>
      <c r="Q35" s="15">
        <f t="shared" si="0"/>
        <v>3</v>
      </c>
    </row>
    <row r="36" spans="1:17" x14ac:dyDescent="0.25">
      <c r="A36" s="12">
        <v>32</v>
      </c>
      <c r="B36" s="12" t="s">
        <v>42</v>
      </c>
      <c r="C36" s="12" t="s">
        <v>43</v>
      </c>
      <c r="D36" s="13">
        <v>16.7</v>
      </c>
      <c r="E36" s="13">
        <v>17.7</v>
      </c>
      <c r="F36" s="13">
        <v>15.7</v>
      </c>
      <c r="G36" s="13">
        <f>SUM(D36:F36)</f>
        <v>50.099999999999994</v>
      </c>
      <c r="H36" s="14">
        <v>3</v>
      </c>
      <c r="I36" s="13"/>
      <c r="J36" s="13"/>
      <c r="K36" s="13"/>
      <c r="L36" s="14"/>
      <c r="M36" s="13"/>
      <c r="N36" s="13"/>
      <c r="O36" s="13"/>
      <c r="P36" s="14"/>
      <c r="Q36" s="15">
        <f t="shared" si="0"/>
        <v>3</v>
      </c>
    </row>
    <row r="37" spans="1:17" x14ac:dyDescent="0.25">
      <c r="A37" s="12">
        <v>33</v>
      </c>
      <c r="B37" s="16" t="s">
        <v>449</v>
      </c>
      <c r="C37" s="12" t="s">
        <v>67</v>
      </c>
      <c r="D37" s="13"/>
      <c r="E37" s="13"/>
      <c r="F37" s="13"/>
      <c r="G37" s="13"/>
      <c r="H37" s="14"/>
      <c r="I37" s="13"/>
      <c r="J37" s="13"/>
      <c r="K37" s="13"/>
      <c r="L37" s="14"/>
      <c r="M37" s="13"/>
      <c r="N37" s="13"/>
      <c r="O37" s="13"/>
      <c r="P37" s="14"/>
      <c r="Q37" s="15"/>
    </row>
  </sheetData>
  <sortState ref="B4:Q35">
    <sortCondition descending="1" ref="Q4:Q35"/>
  </sortState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6.85546875" customWidth="1"/>
    <col min="4" max="4" width="5.85546875" customWidth="1"/>
    <col min="5" max="5" width="6.42578125" customWidth="1"/>
    <col min="6" max="6" width="5.5703125" customWidth="1"/>
    <col min="8" max="8" width="18.42578125" customWidth="1"/>
    <col min="9" max="9" width="8.5703125" customWidth="1"/>
    <col min="10" max="10" width="8" customWidth="1"/>
    <col min="12" max="12" width="18.85546875" customWidth="1"/>
    <col min="13" max="13" width="7.5703125" customWidth="1"/>
    <col min="14" max="14" width="7.140625" customWidth="1"/>
    <col min="16" max="16" width="19.28515625" customWidth="1"/>
    <col min="17" max="17" width="22.855468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7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188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30" t="s">
        <v>471</v>
      </c>
      <c r="C6" s="28" t="s">
        <v>82</v>
      </c>
      <c r="D6" s="29"/>
      <c r="E6" s="29"/>
      <c r="F6" s="29"/>
      <c r="G6" s="29"/>
      <c r="H6" s="31"/>
      <c r="I6" s="29">
        <f>2.8+2.8+2.7+3.5+3.7+3.8</f>
        <v>19.3</v>
      </c>
      <c r="J6" s="29">
        <f>2.8+2.8+2.8+4.5+4.3+4.3</f>
        <v>21.5</v>
      </c>
      <c r="K6" s="29">
        <f>SUM(I6:J6)</f>
        <v>40.799999999999997</v>
      </c>
      <c r="L6" s="31">
        <v>18</v>
      </c>
      <c r="M6" s="29">
        <f>2.8+2.8+2.8+3.9+3.8+3.8</f>
        <v>19.899999999999999</v>
      </c>
      <c r="N6" s="29">
        <f>2.8+3+3+3.9+4.2+3.9</f>
        <v>20.8</v>
      </c>
      <c r="O6" s="29">
        <f t="shared" ref="O6:O12" si="0">M6+N6</f>
        <v>40.700000000000003</v>
      </c>
      <c r="P6" s="31">
        <v>23</v>
      </c>
      <c r="Q6" s="32">
        <f t="shared" ref="Q6:Q13" si="1">H6+L6+P6</f>
        <v>41</v>
      </c>
    </row>
    <row r="7" spans="1:17" x14ac:dyDescent="0.25">
      <c r="A7" s="28">
        <v>2</v>
      </c>
      <c r="B7" s="28" t="s">
        <v>36</v>
      </c>
      <c r="C7" s="28" t="s">
        <v>7</v>
      </c>
      <c r="D7" s="29">
        <v>20.9</v>
      </c>
      <c r="E7" s="29">
        <v>20.2</v>
      </c>
      <c r="F7" s="29">
        <v>19.600000000000001</v>
      </c>
      <c r="G7" s="29">
        <f>SUM(D7:F7)</f>
        <v>60.699999999999996</v>
      </c>
      <c r="H7" s="31">
        <f>20+3</f>
        <v>23</v>
      </c>
      <c r="I7" s="29"/>
      <c r="J7" s="29"/>
      <c r="K7" s="29"/>
      <c r="L7" s="31"/>
      <c r="M7" s="29">
        <f>2.8+2.7+2.7+3.7+3.8+3.8</f>
        <v>19.5</v>
      </c>
      <c r="N7" s="29">
        <f>2.7+3+2.9+4+4.2+4</f>
        <v>20.8</v>
      </c>
      <c r="O7" s="29">
        <f t="shared" si="0"/>
        <v>40.299999999999997</v>
      </c>
      <c r="P7" s="31">
        <v>18</v>
      </c>
      <c r="Q7" s="32">
        <f t="shared" si="1"/>
        <v>41</v>
      </c>
    </row>
    <row r="8" spans="1:17" x14ac:dyDescent="0.25">
      <c r="A8" s="28">
        <v>3</v>
      </c>
      <c r="B8" s="28" t="s">
        <v>35</v>
      </c>
      <c r="C8" s="28" t="s">
        <v>6</v>
      </c>
      <c r="D8" s="29">
        <v>18.7</v>
      </c>
      <c r="E8" s="29">
        <v>18.899999999999999</v>
      </c>
      <c r="F8" s="29">
        <v>18</v>
      </c>
      <c r="G8" s="29">
        <f>SUM(D8:F8)</f>
        <v>55.599999999999994</v>
      </c>
      <c r="H8" s="31">
        <f>15+3</f>
        <v>18</v>
      </c>
      <c r="I8" s="29">
        <f>2.7+2.7+2.8+3.5+3.7+3.9</f>
        <v>19.299999999999997</v>
      </c>
      <c r="J8" s="29">
        <f>2.7+2.7+2.8+4.4+4.8+4.5</f>
        <v>21.9</v>
      </c>
      <c r="K8" s="29">
        <f t="shared" ref="K8:K13" si="2">SUM(I8:J8)</f>
        <v>41.199999999999996</v>
      </c>
      <c r="L8" s="31">
        <v>23</v>
      </c>
      <c r="M8" s="29">
        <f>2.7+2.8+2.9+3.7+3.7+4</f>
        <v>19.8</v>
      </c>
      <c r="N8" s="29">
        <f>2.9+2.9+2.8+4.2+3.9+3.8</f>
        <v>20.5</v>
      </c>
      <c r="O8" s="29">
        <f t="shared" si="0"/>
        <v>40.299999999999997</v>
      </c>
      <c r="P8" s="31">
        <v>13</v>
      </c>
      <c r="Q8" s="32">
        <f t="shared" si="1"/>
        <v>54</v>
      </c>
    </row>
    <row r="9" spans="1:17" x14ac:dyDescent="0.25">
      <c r="A9" s="28">
        <v>4</v>
      </c>
      <c r="B9" s="28" t="s">
        <v>34</v>
      </c>
      <c r="C9" s="28" t="s">
        <v>9</v>
      </c>
      <c r="D9" s="29">
        <v>17.2</v>
      </c>
      <c r="E9" s="29">
        <v>18.100000000000001</v>
      </c>
      <c r="F9" s="29">
        <v>17.7</v>
      </c>
      <c r="G9" s="29">
        <f>SUM(D9:F9)</f>
        <v>53</v>
      </c>
      <c r="H9" s="31">
        <f>10+3</f>
        <v>13</v>
      </c>
      <c r="I9" s="29">
        <f>2.6+2.6+2.6+3.4+3.5+3.5</f>
        <v>18.200000000000003</v>
      </c>
      <c r="J9" s="29">
        <f>2.7+2.5+2.6+4.3+4.2+4.2</f>
        <v>20.5</v>
      </c>
      <c r="K9" s="29">
        <f t="shared" si="2"/>
        <v>38.700000000000003</v>
      </c>
      <c r="L9" s="31">
        <v>13</v>
      </c>
      <c r="M9" s="29">
        <f>2.7+2.7+2.7+3.7+3.8+3.6</f>
        <v>19.200000000000003</v>
      </c>
      <c r="N9" s="29">
        <f>2.8+2.7+2.5+3.9+3.7+3.4</f>
        <v>19</v>
      </c>
      <c r="O9" s="29">
        <f t="shared" si="0"/>
        <v>38.200000000000003</v>
      </c>
      <c r="P9" s="31">
        <v>13</v>
      </c>
      <c r="Q9" s="32">
        <f t="shared" si="1"/>
        <v>39</v>
      </c>
    </row>
    <row r="10" spans="1:17" x14ac:dyDescent="0.25">
      <c r="A10" s="28">
        <v>6</v>
      </c>
      <c r="B10" s="28" t="s">
        <v>37</v>
      </c>
      <c r="C10" s="28" t="s">
        <v>6</v>
      </c>
      <c r="D10" s="29">
        <v>17.100000000000001</v>
      </c>
      <c r="E10" s="29">
        <v>17.600000000000001</v>
      </c>
      <c r="F10" s="29">
        <v>16.2</v>
      </c>
      <c r="G10" s="29">
        <f>SUM(D10:F10)</f>
        <v>50.900000000000006</v>
      </c>
      <c r="H10" s="31">
        <v>13</v>
      </c>
      <c r="I10" s="29">
        <f>2.7+2.6+2.7+3.3+3.5+3.5</f>
        <v>18.3</v>
      </c>
      <c r="J10" s="29">
        <f>2.6+2.5+2.5+4.2+4.5+4.1</f>
        <v>20.399999999999999</v>
      </c>
      <c r="K10" s="29">
        <f t="shared" si="2"/>
        <v>38.700000000000003</v>
      </c>
      <c r="L10" s="31">
        <v>13</v>
      </c>
      <c r="M10" s="29">
        <f>2.6+2.7+2.6+3.6+3.8+3.6</f>
        <v>18.900000000000002</v>
      </c>
      <c r="N10" s="29">
        <f>2.6+2.4+2.4+3.7+3.3+3.4</f>
        <v>17.8</v>
      </c>
      <c r="O10" s="29">
        <f t="shared" si="0"/>
        <v>36.700000000000003</v>
      </c>
      <c r="P10" s="31">
        <v>3</v>
      </c>
      <c r="Q10" s="32">
        <f t="shared" si="1"/>
        <v>29</v>
      </c>
    </row>
    <row r="11" spans="1:17" x14ac:dyDescent="0.25">
      <c r="A11" s="28">
        <v>7</v>
      </c>
      <c r="B11" s="30" t="s">
        <v>472</v>
      </c>
      <c r="C11" s="28" t="s">
        <v>9</v>
      </c>
      <c r="D11" s="29"/>
      <c r="E11" s="29"/>
      <c r="F11" s="29"/>
      <c r="G11" s="29"/>
      <c r="H11" s="31"/>
      <c r="I11" s="29">
        <f>2.7+2.7+2.7+3.4+3.6+3.5</f>
        <v>18.600000000000001</v>
      </c>
      <c r="J11" s="29">
        <f>2.3+2.4+2.5+4.1+4+4.2</f>
        <v>19.5</v>
      </c>
      <c r="K11" s="29">
        <f t="shared" si="2"/>
        <v>38.1</v>
      </c>
      <c r="L11" s="31">
        <v>3</v>
      </c>
      <c r="M11" s="29">
        <f>2.6+2.8+2.7+3.6+3.8+3.7</f>
        <v>19.2</v>
      </c>
      <c r="N11" s="29">
        <f>2.6+2.6+2.3+3.8+3.6+3.2</f>
        <v>18.100000000000001</v>
      </c>
      <c r="O11" s="29">
        <f t="shared" si="0"/>
        <v>37.299999999999997</v>
      </c>
      <c r="P11" s="31">
        <v>3</v>
      </c>
      <c r="Q11" s="32">
        <f t="shared" si="1"/>
        <v>6</v>
      </c>
    </row>
    <row r="12" spans="1:17" x14ac:dyDescent="0.25">
      <c r="A12" s="28">
        <v>8</v>
      </c>
      <c r="B12" s="30" t="s">
        <v>470</v>
      </c>
      <c r="C12" s="28" t="s">
        <v>82</v>
      </c>
      <c r="D12" s="29"/>
      <c r="E12" s="29"/>
      <c r="F12" s="29"/>
      <c r="G12" s="29"/>
      <c r="H12" s="31"/>
      <c r="I12" s="29">
        <f>2.6+2.6+2.6+3.4+3.4+3.4</f>
        <v>18</v>
      </c>
      <c r="J12" s="29">
        <f>2.6+2.4+2.4+4.3+4+4.1</f>
        <v>19.799999999999997</v>
      </c>
      <c r="K12" s="29">
        <f t="shared" si="2"/>
        <v>37.799999999999997</v>
      </c>
      <c r="L12" s="31">
        <v>3</v>
      </c>
      <c r="M12" s="29">
        <f>2.6+2.6+2.6+3.5+3.6+3.4</f>
        <v>18.3</v>
      </c>
      <c r="N12" s="29">
        <f>2.3+2.4+2.3+3.2+3.2+3.2</f>
        <v>16.599999999999998</v>
      </c>
      <c r="O12" s="29">
        <f t="shared" si="0"/>
        <v>34.9</v>
      </c>
      <c r="P12" s="31">
        <v>3</v>
      </c>
      <c r="Q12" s="32">
        <f t="shared" si="1"/>
        <v>6</v>
      </c>
    </row>
    <row r="13" spans="1:17" x14ac:dyDescent="0.25">
      <c r="A13" s="28">
        <v>9</v>
      </c>
      <c r="B13" s="30" t="s">
        <v>469</v>
      </c>
      <c r="C13" s="28" t="s">
        <v>82</v>
      </c>
      <c r="D13" s="29"/>
      <c r="E13" s="29"/>
      <c r="F13" s="29"/>
      <c r="G13" s="29"/>
      <c r="H13" s="31"/>
      <c r="I13" s="29">
        <f>2.5+2.5+2.5+3.4+3.3+3.3</f>
        <v>17.5</v>
      </c>
      <c r="J13" s="29">
        <f>2.5+2.4+2.4+4.1+4.4+3.9</f>
        <v>19.7</v>
      </c>
      <c r="K13" s="29">
        <f t="shared" si="2"/>
        <v>37.200000000000003</v>
      </c>
      <c r="L13" s="31">
        <v>3</v>
      </c>
      <c r="M13" s="29"/>
      <c r="N13" s="29"/>
      <c r="O13" s="29"/>
      <c r="P13" s="31"/>
      <c r="Q13" s="32">
        <f t="shared" si="1"/>
        <v>3</v>
      </c>
    </row>
    <row r="20" spans="2:11" x14ac:dyDescent="0.25">
      <c r="B20" s="2"/>
    </row>
    <row r="21" spans="2:11" x14ac:dyDescent="0.25">
      <c r="B21" s="2"/>
    </row>
    <row r="22" spans="2:11" x14ac:dyDescent="0.25">
      <c r="B22" s="2"/>
    </row>
    <row r="23" spans="2:11" x14ac:dyDescent="0.25">
      <c r="B23" s="2"/>
    </row>
    <row r="29" spans="2:11" x14ac:dyDescent="0.25">
      <c r="K29">
        <f t="shared" ref="K29:K42" si="3">SUM(I29:J29)</f>
        <v>0</v>
      </c>
    </row>
    <row r="30" spans="2:11" x14ac:dyDescent="0.25">
      <c r="K30">
        <f t="shared" si="3"/>
        <v>0</v>
      </c>
    </row>
    <row r="31" spans="2:11" x14ac:dyDescent="0.25">
      <c r="K31">
        <f t="shared" si="3"/>
        <v>0</v>
      </c>
    </row>
    <row r="32" spans="2:11" x14ac:dyDescent="0.25">
      <c r="K32">
        <f t="shared" si="3"/>
        <v>0</v>
      </c>
    </row>
    <row r="33" spans="11:11" x14ac:dyDescent="0.25">
      <c r="K33">
        <f t="shared" si="3"/>
        <v>0</v>
      </c>
    </row>
    <row r="34" spans="11:11" x14ac:dyDescent="0.25">
      <c r="K34">
        <f t="shared" si="3"/>
        <v>0</v>
      </c>
    </row>
    <row r="35" spans="11:11" x14ac:dyDescent="0.25">
      <c r="K35">
        <f t="shared" si="3"/>
        <v>0</v>
      </c>
    </row>
    <row r="36" spans="11:11" x14ac:dyDescent="0.25">
      <c r="K36">
        <f t="shared" si="3"/>
        <v>0</v>
      </c>
    </row>
    <row r="37" spans="11:11" x14ac:dyDescent="0.25">
      <c r="K37">
        <f t="shared" si="3"/>
        <v>0</v>
      </c>
    </row>
    <row r="38" spans="11:11" x14ac:dyDescent="0.25">
      <c r="K38">
        <f t="shared" si="3"/>
        <v>0</v>
      </c>
    </row>
    <row r="39" spans="11:11" x14ac:dyDescent="0.25">
      <c r="K39">
        <f t="shared" si="3"/>
        <v>0</v>
      </c>
    </row>
    <row r="40" spans="11:11" x14ac:dyDescent="0.25">
      <c r="K40">
        <f t="shared" si="3"/>
        <v>0</v>
      </c>
    </row>
    <row r="41" spans="11:11" x14ac:dyDescent="0.25">
      <c r="K41">
        <f t="shared" si="3"/>
        <v>0</v>
      </c>
    </row>
    <row r="42" spans="11:11" x14ac:dyDescent="0.25">
      <c r="K42">
        <f t="shared" si="3"/>
        <v>0</v>
      </c>
    </row>
  </sheetData>
  <sortState ref="B4:Q11">
    <sortCondition descending="1" ref="P4:P11"/>
  </sortState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26.28515625" customWidth="1"/>
    <col min="3" max="3" width="16.85546875" customWidth="1"/>
    <col min="4" max="4" width="5.7109375" customWidth="1"/>
    <col min="5" max="6" width="4.140625" customWidth="1"/>
    <col min="7" max="7" width="13.7109375" customWidth="1"/>
    <col min="8" max="8" width="18.42578125" customWidth="1"/>
    <col min="9" max="9" width="7.140625" customWidth="1"/>
    <col min="10" max="10" width="5.85546875" customWidth="1"/>
    <col min="12" max="12" width="18.140625" customWidth="1"/>
    <col min="13" max="13" width="6" customWidth="1"/>
    <col min="14" max="14" width="6.140625" customWidth="1"/>
    <col min="16" max="16" width="18.140625" customWidth="1"/>
    <col min="17" max="17" width="22.855468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7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467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646</v>
      </c>
      <c r="C6" s="28" t="s">
        <v>397</v>
      </c>
      <c r="D6" s="29"/>
      <c r="E6" s="29"/>
      <c r="F6" s="29"/>
      <c r="G6" s="29"/>
      <c r="H6" s="31"/>
      <c r="I6" s="29">
        <f>2.6+2.6+2.7+3.5+3.5+3.8</f>
        <v>18.7</v>
      </c>
      <c r="J6" s="29">
        <f>2.5+2.6+2.5+4.4+4+4.1</f>
        <v>20.100000000000001</v>
      </c>
      <c r="K6" s="29">
        <f>SUM(I6:J6)</f>
        <v>38.799999999999997</v>
      </c>
      <c r="L6" s="31">
        <f>15+3</f>
        <v>18</v>
      </c>
      <c r="M6" s="29">
        <f>2.7+2.7+2.8+3.8+3.6+3.8</f>
        <v>19.399999999999999</v>
      </c>
      <c r="N6" s="29">
        <f>2.6+2.7+2.4+3.6+3.6+3.4</f>
        <v>18.3</v>
      </c>
      <c r="O6" s="29">
        <f>M6+N6</f>
        <v>37.700000000000003</v>
      </c>
      <c r="P6" s="31">
        <f>20+3</f>
        <v>23</v>
      </c>
      <c r="Q6" s="32">
        <f>L6+P6</f>
        <v>41</v>
      </c>
    </row>
    <row r="7" spans="1:17" x14ac:dyDescent="0.25">
      <c r="A7" s="28">
        <v>2</v>
      </c>
      <c r="B7" s="30" t="s">
        <v>468</v>
      </c>
      <c r="C7" s="28" t="s">
        <v>9</v>
      </c>
      <c r="D7" s="29"/>
      <c r="E7" s="29"/>
      <c r="F7" s="29"/>
      <c r="G7" s="29"/>
      <c r="H7" s="31"/>
      <c r="I7" s="29">
        <f>2.8+2.8+2.7+3.7+3.6+3.8</f>
        <v>19.399999999999999</v>
      </c>
      <c r="J7" s="29">
        <f>2.4+2.6+2.7+4.3+4.2+4.2</f>
        <v>20.399999999999999</v>
      </c>
      <c r="K7" s="29">
        <f>SUM(I7:J7)</f>
        <v>39.799999999999997</v>
      </c>
      <c r="L7" s="31">
        <f>20+3</f>
        <v>23</v>
      </c>
      <c r="M7" s="29"/>
      <c r="N7" s="29"/>
      <c r="O7" s="29"/>
      <c r="P7" s="31"/>
      <c r="Q7" s="32">
        <f>L7+P7</f>
        <v>23</v>
      </c>
    </row>
  </sheetData>
  <sortState ref="B4:Q5">
    <sortCondition descending="1" ref="Q4:Q5"/>
  </sortState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2" zoomScaleNormal="100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22.5703125" style="4" customWidth="1"/>
    <col min="4" max="4" width="6.140625" style="4" customWidth="1"/>
    <col min="5" max="5" width="6.42578125" style="4" customWidth="1"/>
    <col min="6" max="6" width="6.140625" style="4" customWidth="1"/>
    <col min="7" max="7" width="11.85546875" style="4" bestFit="1" customWidth="1"/>
    <col min="8" max="8" width="19.28515625" style="4" customWidth="1"/>
    <col min="9" max="9" width="7.140625" style="4" customWidth="1"/>
    <col min="10" max="10" width="7.42578125" style="4" customWidth="1"/>
    <col min="11" max="11" width="11.42578125" style="4"/>
    <col min="12" max="12" width="19" style="4" customWidth="1"/>
    <col min="13" max="13" width="7" style="4" customWidth="1"/>
    <col min="14" max="14" width="7.42578125" style="4" customWidth="1"/>
    <col min="15" max="15" width="11.42578125" style="4"/>
    <col min="16" max="16" width="18.140625" style="4" customWidth="1"/>
    <col min="17" max="17" width="24.710937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198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190</v>
      </c>
      <c r="C6" s="12" t="s">
        <v>5</v>
      </c>
      <c r="D6" s="13">
        <v>22.6</v>
      </c>
      <c r="E6" s="13">
        <v>22.5</v>
      </c>
      <c r="F6" s="13">
        <v>19.3</v>
      </c>
      <c r="G6" s="13">
        <f>SUM(D6:F6)</f>
        <v>64.400000000000006</v>
      </c>
      <c r="H6" s="14">
        <v>18</v>
      </c>
      <c r="I6" s="13">
        <f>3+3.1+2.8+3.8+4+3.6</f>
        <v>20.3</v>
      </c>
      <c r="J6" s="13">
        <f>2.9+2.8+2.8+3.9+3.9+3.8</f>
        <v>20.100000000000001</v>
      </c>
      <c r="K6" s="13">
        <f>SUM(I6:J6)</f>
        <v>40.400000000000006</v>
      </c>
      <c r="L6" s="14">
        <v>23</v>
      </c>
      <c r="M6" s="13">
        <f>2.7+2.6+2.6+3.8+3.6+3.6</f>
        <v>18.899999999999999</v>
      </c>
      <c r="N6" s="13">
        <f>2.7+2.5+2.6+3.6+3.6</f>
        <v>15</v>
      </c>
      <c r="O6" s="13">
        <f t="shared" ref="O6:O12" si="0">M6+N6</f>
        <v>33.9</v>
      </c>
      <c r="P6" s="14">
        <v>3</v>
      </c>
      <c r="Q6" s="15">
        <f t="shared" ref="Q6:Q25" si="1">H6+L6+P6</f>
        <v>44</v>
      </c>
    </row>
    <row r="7" spans="1:17" x14ac:dyDescent="0.25">
      <c r="A7" s="12">
        <v>2</v>
      </c>
      <c r="B7" s="16" t="s">
        <v>496</v>
      </c>
      <c r="C7" s="12" t="s">
        <v>95</v>
      </c>
      <c r="D7" s="13"/>
      <c r="E7" s="13"/>
      <c r="F7" s="13"/>
      <c r="G7" s="13"/>
      <c r="H7" s="14"/>
      <c r="I7" s="13">
        <f>3+3+2.8+3.9+3.9+3.8</f>
        <v>20.400000000000002</v>
      </c>
      <c r="J7" s="13">
        <f>2.8+2.7+2.5+3.8+3.7+3.5</f>
        <v>19</v>
      </c>
      <c r="K7" s="13">
        <f>SUM(I7:J7)</f>
        <v>39.400000000000006</v>
      </c>
      <c r="L7" s="14">
        <v>18</v>
      </c>
      <c r="M7" s="13">
        <f>2.8+2.7+2.7+3.8+3.8+3.8</f>
        <v>19.600000000000001</v>
      </c>
      <c r="N7" s="13">
        <f>2.9+2.7+2.8+3.9+3.7+3.7</f>
        <v>19.7</v>
      </c>
      <c r="O7" s="13">
        <f t="shared" si="0"/>
        <v>39.299999999999997</v>
      </c>
      <c r="P7" s="14">
        <v>23</v>
      </c>
      <c r="Q7" s="15">
        <f t="shared" si="1"/>
        <v>41</v>
      </c>
    </row>
    <row r="8" spans="1:17" x14ac:dyDescent="0.25">
      <c r="A8" s="12">
        <v>3</v>
      </c>
      <c r="B8" s="12" t="s">
        <v>194</v>
      </c>
      <c r="C8" s="12" t="s">
        <v>6</v>
      </c>
      <c r="D8" s="13">
        <v>22.7</v>
      </c>
      <c r="E8" s="13">
        <v>23.3</v>
      </c>
      <c r="F8" s="13">
        <v>22.1</v>
      </c>
      <c r="G8" s="13">
        <f>SUM(D8:F8)</f>
        <v>68.099999999999994</v>
      </c>
      <c r="H8" s="14">
        <v>23</v>
      </c>
      <c r="I8" s="13"/>
      <c r="J8" s="13"/>
      <c r="K8" s="13"/>
      <c r="L8" s="14"/>
      <c r="M8" s="13">
        <f>2.9+2.6+2.6+3.9+3.7+3.7</f>
        <v>19.399999999999999</v>
      </c>
      <c r="N8" s="13">
        <f>2.7+2.7+2.7+3.8+3.7+3.7</f>
        <v>19.3</v>
      </c>
      <c r="O8" s="13">
        <f t="shared" si="0"/>
        <v>38.700000000000003</v>
      </c>
      <c r="P8" s="14">
        <v>18</v>
      </c>
      <c r="Q8" s="15">
        <f t="shared" si="1"/>
        <v>41</v>
      </c>
    </row>
    <row r="9" spans="1:17" x14ac:dyDescent="0.25">
      <c r="A9" s="12">
        <v>4</v>
      </c>
      <c r="B9" s="12" t="s">
        <v>196</v>
      </c>
      <c r="C9" s="12" t="s">
        <v>26</v>
      </c>
      <c r="D9" s="13">
        <v>21.3</v>
      </c>
      <c r="E9" s="13">
        <v>20.100000000000001</v>
      </c>
      <c r="F9" s="13">
        <v>18</v>
      </c>
      <c r="G9" s="13">
        <f>SUM(D9:F9)</f>
        <v>59.400000000000006</v>
      </c>
      <c r="H9" s="14">
        <v>3</v>
      </c>
      <c r="I9" s="13">
        <f>2.9+2.9+2.9+4+3.9+3.9</f>
        <v>20.499999999999996</v>
      </c>
      <c r="J9" s="13">
        <f>2.6+2.6+2.7+3.7+3.6+3.7</f>
        <v>18.900000000000002</v>
      </c>
      <c r="K9" s="13">
        <f t="shared" ref="K9:K20" si="2">SUM(I9:J9)</f>
        <v>39.4</v>
      </c>
      <c r="L9" s="14">
        <v>13</v>
      </c>
      <c r="M9" s="13">
        <f>2.6+2.5+2.5+3.6+3.6+3.5</f>
        <v>18.299999999999997</v>
      </c>
      <c r="N9" s="13">
        <f>2.6+2.6+2.7+3.6+3.7+3.6</f>
        <v>18.8</v>
      </c>
      <c r="O9" s="13">
        <f t="shared" si="0"/>
        <v>37.099999999999994</v>
      </c>
      <c r="P9" s="14">
        <v>13</v>
      </c>
      <c r="Q9" s="15">
        <f t="shared" si="1"/>
        <v>29</v>
      </c>
    </row>
    <row r="10" spans="1:17" x14ac:dyDescent="0.25">
      <c r="A10" s="12">
        <v>5</v>
      </c>
      <c r="B10" s="12" t="s">
        <v>189</v>
      </c>
      <c r="C10" s="12" t="s">
        <v>5</v>
      </c>
      <c r="D10" s="13">
        <v>22.1</v>
      </c>
      <c r="E10" s="13">
        <v>21.2</v>
      </c>
      <c r="F10" s="13">
        <v>18.2</v>
      </c>
      <c r="G10" s="13">
        <f>SUM(D10:F10)</f>
        <v>61.5</v>
      </c>
      <c r="H10" s="14">
        <v>13</v>
      </c>
      <c r="I10" s="13">
        <f>2.9+2.8+2.7+3.8+3.8+3.8</f>
        <v>19.8</v>
      </c>
      <c r="J10" s="13">
        <f>2.6+2.6+2.6+3.7+3.7+3.7</f>
        <v>18.899999999999999</v>
      </c>
      <c r="K10" s="13">
        <f t="shared" si="2"/>
        <v>38.700000000000003</v>
      </c>
      <c r="L10" s="14">
        <v>3</v>
      </c>
      <c r="M10" s="13">
        <f>2.6+2.5+2.5+3.6+3.5+3.4</f>
        <v>18.099999999999998</v>
      </c>
      <c r="N10" s="13">
        <f>2.6+2.5+2.6+3.6+3.5+3.5</f>
        <v>18.299999999999997</v>
      </c>
      <c r="O10" s="13">
        <f t="shared" si="0"/>
        <v>36.399999999999991</v>
      </c>
      <c r="P10" s="14">
        <v>3</v>
      </c>
      <c r="Q10" s="15">
        <f t="shared" si="1"/>
        <v>19</v>
      </c>
    </row>
    <row r="11" spans="1:17" x14ac:dyDescent="0.25">
      <c r="A11" s="12">
        <v>6</v>
      </c>
      <c r="B11" s="12" t="s">
        <v>192</v>
      </c>
      <c r="C11" s="12" t="s">
        <v>15</v>
      </c>
      <c r="D11" s="13">
        <v>21.4</v>
      </c>
      <c r="E11" s="13">
        <v>20.5</v>
      </c>
      <c r="F11" s="13">
        <v>18.5</v>
      </c>
      <c r="G11" s="13">
        <f>SUM(D11:F11)</f>
        <v>60.4</v>
      </c>
      <c r="H11" s="14">
        <v>3</v>
      </c>
      <c r="I11" s="13">
        <f>2.8+2.8+2.8+3.7+3.7+3.8</f>
        <v>19.599999999999998</v>
      </c>
      <c r="J11" s="13">
        <f>2.8+2.8+2.8+3.8+3.8+3.7</f>
        <v>19.7</v>
      </c>
      <c r="K11" s="13">
        <f t="shared" si="2"/>
        <v>39.299999999999997</v>
      </c>
      <c r="L11" s="14">
        <v>13</v>
      </c>
      <c r="M11" s="13">
        <f>2.2+2.3+2.2+3.2+3.2+3.2</f>
        <v>16.3</v>
      </c>
      <c r="N11" s="13">
        <f>2.4+2.4+2.4+3.4+3.4+3.4</f>
        <v>17.399999999999999</v>
      </c>
      <c r="O11" s="13">
        <f t="shared" si="0"/>
        <v>33.700000000000003</v>
      </c>
      <c r="P11" s="14">
        <v>3</v>
      </c>
      <c r="Q11" s="15">
        <f t="shared" si="1"/>
        <v>19</v>
      </c>
    </row>
    <row r="12" spans="1:17" x14ac:dyDescent="0.25">
      <c r="A12" s="12">
        <v>7</v>
      </c>
      <c r="B12" s="16" t="s">
        <v>503</v>
      </c>
      <c r="C12" s="12" t="s">
        <v>504</v>
      </c>
      <c r="D12" s="13"/>
      <c r="E12" s="13"/>
      <c r="F12" s="13"/>
      <c r="G12" s="13"/>
      <c r="H12" s="14"/>
      <c r="I12" s="13">
        <f>2.8+2.7+2.7+3.6+3.9+3.7</f>
        <v>19.399999999999999</v>
      </c>
      <c r="J12" s="13">
        <f>2.6+2.6+2.6+3.6+3.7+3.6</f>
        <v>18.700000000000003</v>
      </c>
      <c r="K12" s="13">
        <f t="shared" si="2"/>
        <v>38.1</v>
      </c>
      <c r="L12" s="14">
        <v>3</v>
      </c>
      <c r="M12" s="13">
        <f>2.6+2.4+2.6+3.7+3.5+3.5</f>
        <v>18.3</v>
      </c>
      <c r="N12" s="13">
        <f>2.6+2.6+2.6+3.6+3.7+3.5</f>
        <v>18.600000000000001</v>
      </c>
      <c r="O12" s="13">
        <f t="shared" si="0"/>
        <v>36.900000000000006</v>
      </c>
      <c r="P12" s="14">
        <v>13</v>
      </c>
      <c r="Q12" s="15">
        <f t="shared" si="1"/>
        <v>16</v>
      </c>
    </row>
    <row r="13" spans="1:17" x14ac:dyDescent="0.25">
      <c r="A13" s="12">
        <v>8</v>
      </c>
      <c r="B13" s="12" t="s">
        <v>195</v>
      </c>
      <c r="C13" s="12" t="s">
        <v>29</v>
      </c>
      <c r="D13" s="13">
        <v>21.5</v>
      </c>
      <c r="E13" s="13">
        <v>20</v>
      </c>
      <c r="F13" s="13">
        <v>20</v>
      </c>
      <c r="G13" s="13">
        <f>SUM(D13:F13)</f>
        <v>61.5</v>
      </c>
      <c r="H13" s="14">
        <v>13</v>
      </c>
      <c r="I13" s="13">
        <f>2.5+2.6+2.6+3.6+3.6+3.6</f>
        <v>18.5</v>
      </c>
      <c r="J13" s="13">
        <f>2.2+2.4+2.2+3.2+3.3+3.3</f>
        <v>16.600000000000001</v>
      </c>
      <c r="K13" s="13">
        <f t="shared" si="2"/>
        <v>35.1</v>
      </c>
      <c r="L13" s="14">
        <v>3</v>
      </c>
      <c r="M13" s="13"/>
      <c r="N13" s="13"/>
      <c r="O13" s="13"/>
      <c r="P13" s="14"/>
      <c r="Q13" s="15">
        <f t="shared" si="1"/>
        <v>16</v>
      </c>
    </row>
    <row r="14" spans="1:17" x14ac:dyDescent="0.25">
      <c r="A14" s="12">
        <v>9</v>
      </c>
      <c r="B14" s="12" t="s">
        <v>197</v>
      </c>
      <c r="C14" s="12" t="s">
        <v>26</v>
      </c>
      <c r="D14" s="13">
        <v>21.4</v>
      </c>
      <c r="E14" s="13">
        <v>20.3</v>
      </c>
      <c r="F14" s="13">
        <v>19.5</v>
      </c>
      <c r="G14" s="13">
        <f>SUM(D14:F14)</f>
        <v>61.2</v>
      </c>
      <c r="H14" s="14">
        <v>3</v>
      </c>
      <c r="I14" s="13">
        <f>2.9+2.9+2.8+3.8+3.9+3.9</f>
        <v>20.199999999999996</v>
      </c>
      <c r="J14" s="13">
        <f>2.5+2.4+2.5+3.6+3.4+3.5</f>
        <v>17.899999999999999</v>
      </c>
      <c r="K14" s="13">
        <f t="shared" si="2"/>
        <v>38.099999999999994</v>
      </c>
      <c r="L14" s="14">
        <v>3</v>
      </c>
      <c r="M14" s="13">
        <f>2.6+2.5+2.6+3.5+3.5+3.5</f>
        <v>18.2</v>
      </c>
      <c r="N14" s="13">
        <f>2.6+2.5+2.6+3.6+3.5+3.6</f>
        <v>18.399999999999999</v>
      </c>
      <c r="O14" s="13">
        <f t="shared" ref="O14:O21" si="3">M14+N14</f>
        <v>36.599999999999994</v>
      </c>
      <c r="P14" s="14">
        <v>3</v>
      </c>
      <c r="Q14" s="15">
        <f t="shared" si="1"/>
        <v>9</v>
      </c>
    </row>
    <row r="15" spans="1:17" x14ac:dyDescent="0.25">
      <c r="A15" s="12">
        <v>10</v>
      </c>
      <c r="B15" s="12" t="s">
        <v>191</v>
      </c>
      <c r="C15" s="12" t="s">
        <v>15</v>
      </c>
      <c r="D15" s="13">
        <v>21.6</v>
      </c>
      <c r="E15" s="13">
        <v>18.3</v>
      </c>
      <c r="F15" s="13">
        <v>18</v>
      </c>
      <c r="G15" s="13">
        <f>SUM(D15:F15)</f>
        <v>57.900000000000006</v>
      </c>
      <c r="H15" s="14">
        <v>3</v>
      </c>
      <c r="I15" s="13">
        <f>2.8+2.8+2.9+3.9+3.8+3.9</f>
        <v>20.099999999999998</v>
      </c>
      <c r="J15" s="13">
        <f>2.6+2.5+2.6+3.6+3.6+3.7</f>
        <v>18.599999999999998</v>
      </c>
      <c r="K15" s="13">
        <f t="shared" si="2"/>
        <v>38.699999999999996</v>
      </c>
      <c r="L15" s="14">
        <v>3</v>
      </c>
      <c r="M15" s="13">
        <f>2.6+2.5+2.5+3.6+3.5+3.5</f>
        <v>18.2</v>
      </c>
      <c r="N15" s="13">
        <f>2.5+2.5+2.5+3.6+3.5+3.5</f>
        <v>18.100000000000001</v>
      </c>
      <c r="O15" s="13">
        <f t="shared" si="3"/>
        <v>36.299999999999997</v>
      </c>
      <c r="P15" s="14">
        <v>3</v>
      </c>
      <c r="Q15" s="15">
        <f t="shared" si="1"/>
        <v>9</v>
      </c>
    </row>
    <row r="16" spans="1:17" x14ac:dyDescent="0.25">
      <c r="A16" s="12">
        <v>11</v>
      </c>
      <c r="B16" s="16" t="s">
        <v>499</v>
      </c>
      <c r="C16" s="12" t="s">
        <v>493</v>
      </c>
      <c r="D16" s="13"/>
      <c r="E16" s="13"/>
      <c r="F16" s="13"/>
      <c r="G16" s="13"/>
      <c r="H16" s="14"/>
      <c r="I16" s="13">
        <f>2.8+2.8+2.8+3.8+3.8+4</f>
        <v>20</v>
      </c>
      <c r="J16" s="13">
        <f>2.3+2.3+2.3+3.4+3.3+3.3</f>
        <v>16.899999999999999</v>
      </c>
      <c r="K16" s="13">
        <f t="shared" si="2"/>
        <v>36.9</v>
      </c>
      <c r="L16" s="14">
        <v>3</v>
      </c>
      <c r="M16" s="13">
        <f>2.4+2.3+2.3+3.4+3.3+3.4</f>
        <v>17.099999999999998</v>
      </c>
      <c r="N16" s="13">
        <f>2.5+2.6+2.5+3.5+3.6+3.5</f>
        <v>18.2</v>
      </c>
      <c r="O16" s="13">
        <f t="shared" si="3"/>
        <v>35.299999999999997</v>
      </c>
      <c r="P16" s="14">
        <v>3</v>
      </c>
      <c r="Q16" s="15">
        <f t="shared" si="1"/>
        <v>6</v>
      </c>
    </row>
    <row r="17" spans="1:17" x14ac:dyDescent="0.25">
      <c r="A17" s="12">
        <v>12</v>
      </c>
      <c r="B17" s="16" t="s">
        <v>505</v>
      </c>
      <c r="C17" s="12" t="s">
        <v>82</v>
      </c>
      <c r="D17" s="13"/>
      <c r="E17" s="13"/>
      <c r="F17" s="13"/>
      <c r="G17" s="13"/>
      <c r="H17" s="14"/>
      <c r="I17" s="13">
        <f>2.6+2.6+2.6+3.7+3.7+3.7</f>
        <v>18.899999999999999</v>
      </c>
      <c r="J17" s="13">
        <f>2.2+2.2+2.2+3.1+3.1+3.1</f>
        <v>15.9</v>
      </c>
      <c r="K17" s="13">
        <f t="shared" si="2"/>
        <v>34.799999999999997</v>
      </c>
      <c r="L17" s="14">
        <v>3</v>
      </c>
      <c r="M17" s="13">
        <f>2.5+2.3+2.3+3.4+3.3+3.3</f>
        <v>17.100000000000001</v>
      </c>
      <c r="N17" s="13">
        <f>2.5+2.5+2.5+3.5+3.6+3.5</f>
        <v>18.100000000000001</v>
      </c>
      <c r="O17" s="13">
        <f t="shared" si="3"/>
        <v>35.200000000000003</v>
      </c>
      <c r="P17" s="14">
        <v>3</v>
      </c>
      <c r="Q17" s="15">
        <f t="shared" si="1"/>
        <v>6</v>
      </c>
    </row>
    <row r="18" spans="1:17" x14ac:dyDescent="0.25">
      <c r="A18" s="12">
        <v>13</v>
      </c>
      <c r="B18" s="16" t="s">
        <v>502</v>
      </c>
      <c r="C18" s="12" t="s">
        <v>444</v>
      </c>
      <c r="D18" s="13"/>
      <c r="E18" s="13"/>
      <c r="F18" s="13"/>
      <c r="G18" s="13"/>
      <c r="H18" s="14"/>
      <c r="I18" s="13">
        <f>2.6+2.7+2.7+3.5+3.7+3.7</f>
        <v>18.899999999999999</v>
      </c>
      <c r="J18" s="13">
        <f>2.3+2.1+2.1+3.3+3.2+3.2</f>
        <v>16.2</v>
      </c>
      <c r="K18" s="13">
        <f t="shared" si="2"/>
        <v>35.099999999999994</v>
      </c>
      <c r="L18" s="14">
        <v>3</v>
      </c>
      <c r="M18" s="13">
        <f>2.3+2.2+2.2+3.2+3.1+3.1</f>
        <v>16.100000000000001</v>
      </c>
      <c r="N18" s="13">
        <f>2.3+2.4+2.4+3.4+3.4+3.4</f>
        <v>17.3</v>
      </c>
      <c r="O18" s="13">
        <f t="shared" si="3"/>
        <v>33.400000000000006</v>
      </c>
      <c r="P18" s="14">
        <v>3</v>
      </c>
      <c r="Q18" s="15">
        <f t="shared" si="1"/>
        <v>6</v>
      </c>
    </row>
    <row r="19" spans="1:17" x14ac:dyDescent="0.25">
      <c r="A19" s="12">
        <v>14</v>
      </c>
      <c r="B19" s="16" t="s">
        <v>500</v>
      </c>
      <c r="C19" s="12" t="s">
        <v>444</v>
      </c>
      <c r="D19" s="13"/>
      <c r="E19" s="13"/>
      <c r="F19" s="13"/>
      <c r="G19" s="13"/>
      <c r="H19" s="14"/>
      <c r="I19" s="13">
        <f>2.5+2.6+2.6+3.5+3.5+3.6</f>
        <v>18.3</v>
      </c>
      <c r="J19" s="13">
        <f>2.1+2.2+2.1+3.2+3.1+3.1</f>
        <v>15.8</v>
      </c>
      <c r="K19" s="13">
        <f t="shared" si="2"/>
        <v>34.1</v>
      </c>
      <c r="L19" s="14">
        <v>3</v>
      </c>
      <c r="M19" s="13">
        <f>2.2+2.2+2.1+3.1+3.2+3.1</f>
        <v>15.9</v>
      </c>
      <c r="N19" s="13">
        <f>2.2+2.4+2.4+3.3+3.4+3.5</f>
        <v>17.200000000000003</v>
      </c>
      <c r="O19" s="13">
        <f t="shared" si="3"/>
        <v>33.1</v>
      </c>
      <c r="P19" s="14">
        <v>3</v>
      </c>
      <c r="Q19" s="15">
        <f t="shared" si="1"/>
        <v>6</v>
      </c>
    </row>
    <row r="20" spans="1:17" x14ac:dyDescent="0.25">
      <c r="A20" s="12">
        <v>15</v>
      </c>
      <c r="B20" s="16" t="s">
        <v>497</v>
      </c>
      <c r="C20" s="12" t="s">
        <v>82</v>
      </c>
      <c r="D20" s="13"/>
      <c r="E20" s="13"/>
      <c r="F20" s="13"/>
      <c r="G20" s="13"/>
      <c r="H20" s="14"/>
      <c r="I20" s="13">
        <f>2.5+2.6+2.6+3.5+3.5+3.6</f>
        <v>18.3</v>
      </c>
      <c r="J20" s="13">
        <f>2.2+2.1+2.1+3.3+3.1+3.1</f>
        <v>15.899999999999999</v>
      </c>
      <c r="K20" s="13">
        <f t="shared" si="2"/>
        <v>34.200000000000003</v>
      </c>
      <c r="L20" s="14">
        <v>3</v>
      </c>
      <c r="M20" s="13">
        <f>2.1+2.1+2.2+3.1+3.1+3.2</f>
        <v>15.8</v>
      </c>
      <c r="N20" s="13">
        <f>2.3+2.3+2.3+3.3+3.3+3.3</f>
        <v>16.8</v>
      </c>
      <c r="O20" s="13">
        <f t="shared" si="3"/>
        <v>32.6</v>
      </c>
      <c r="P20" s="14">
        <v>3</v>
      </c>
      <c r="Q20" s="15">
        <f t="shared" si="1"/>
        <v>6</v>
      </c>
    </row>
    <row r="21" spans="1:17" x14ac:dyDescent="0.25">
      <c r="A21" s="12">
        <v>16</v>
      </c>
      <c r="B21" s="16" t="s">
        <v>709</v>
      </c>
      <c r="C21" s="12" t="s">
        <v>57</v>
      </c>
      <c r="D21" s="13"/>
      <c r="E21" s="13"/>
      <c r="F21" s="13"/>
      <c r="G21" s="13"/>
      <c r="H21" s="14"/>
      <c r="I21" s="13"/>
      <c r="J21" s="13"/>
      <c r="K21" s="13"/>
      <c r="L21" s="14"/>
      <c r="M21" s="13">
        <f>2.3+2.4+2.4+3.4+3.4+3.4</f>
        <v>17.3</v>
      </c>
      <c r="N21" s="13">
        <f>2.5+2.5+2.5+3.5+3.6+3.5</f>
        <v>18.100000000000001</v>
      </c>
      <c r="O21" s="13">
        <f t="shared" si="3"/>
        <v>35.400000000000006</v>
      </c>
      <c r="P21" s="14">
        <v>3</v>
      </c>
      <c r="Q21" s="15">
        <f t="shared" si="1"/>
        <v>3</v>
      </c>
    </row>
    <row r="22" spans="1:17" x14ac:dyDescent="0.25">
      <c r="A22" s="12">
        <v>17</v>
      </c>
      <c r="B22" s="16" t="s">
        <v>498</v>
      </c>
      <c r="C22" s="12" t="s">
        <v>82</v>
      </c>
      <c r="D22" s="13"/>
      <c r="E22" s="13"/>
      <c r="F22" s="13"/>
      <c r="G22" s="13"/>
      <c r="H22" s="14"/>
      <c r="I22" s="13">
        <f>2.4+2.4+2.5+3.5+3.5+3.5</f>
        <v>17.8</v>
      </c>
      <c r="J22" s="13">
        <f>2.3+2.3+2.3+3.3+3.2+3.2</f>
        <v>16.599999999999998</v>
      </c>
      <c r="K22" s="13">
        <f>SUM(I22:J22)</f>
        <v>34.4</v>
      </c>
      <c r="L22" s="14">
        <v>3</v>
      </c>
      <c r="M22" s="13"/>
      <c r="N22" s="13"/>
      <c r="O22" s="13"/>
      <c r="P22" s="14"/>
      <c r="Q22" s="15">
        <f t="shared" si="1"/>
        <v>3</v>
      </c>
    </row>
    <row r="23" spans="1:17" x14ac:dyDescent="0.25">
      <c r="A23" s="12">
        <v>18</v>
      </c>
      <c r="B23" s="16" t="s">
        <v>501</v>
      </c>
      <c r="C23" s="12" t="s">
        <v>444</v>
      </c>
      <c r="D23" s="13"/>
      <c r="E23" s="13"/>
      <c r="F23" s="13"/>
      <c r="G23" s="13"/>
      <c r="H23" s="14"/>
      <c r="I23" s="13">
        <f>2.7+2.6+2.8+3.7+3.7+3.8</f>
        <v>19.3</v>
      </c>
      <c r="J23" s="13">
        <f>2.4+2.3+2.4+3.5+3.4+3.4</f>
        <v>17.399999999999999</v>
      </c>
      <c r="K23" s="13">
        <f>SUM(I23:J23)</f>
        <v>36.700000000000003</v>
      </c>
      <c r="L23" s="14">
        <v>3</v>
      </c>
      <c r="M23" s="13"/>
      <c r="N23" s="13"/>
      <c r="O23" s="13"/>
      <c r="P23" s="14"/>
      <c r="Q23" s="15">
        <f t="shared" si="1"/>
        <v>3</v>
      </c>
    </row>
    <row r="24" spans="1:17" x14ac:dyDescent="0.25">
      <c r="A24" s="12">
        <v>19</v>
      </c>
      <c r="B24" s="16" t="s">
        <v>494</v>
      </c>
      <c r="C24" s="12" t="s">
        <v>495</v>
      </c>
      <c r="D24" s="13"/>
      <c r="E24" s="13"/>
      <c r="F24" s="13"/>
      <c r="G24" s="13"/>
      <c r="H24" s="14"/>
      <c r="I24" s="13">
        <f>2.7+2.7+2.7+3.6+3.6+3.7</f>
        <v>19</v>
      </c>
      <c r="J24" s="13">
        <f>2.3+2.3+2.2+3.2+3.2+3.2</f>
        <v>16.399999999999999</v>
      </c>
      <c r="K24" s="13">
        <f>SUM(I24:J24)</f>
        <v>35.4</v>
      </c>
      <c r="L24" s="14">
        <v>3</v>
      </c>
      <c r="M24" s="13"/>
      <c r="N24" s="13"/>
      <c r="O24" s="13"/>
      <c r="P24" s="14"/>
      <c r="Q24" s="15">
        <f t="shared" si="1"/>
        <v>3</v>
      </c>
    </row>
    <row r="25" spans="1:17" x14ac:dyDescent="0.25">
      <c r="A25" s="12">
        <v>20</v>
      </c>
      <c r="B25" s="12" t="s">
        <v>193</v>
      </c>
      <c r="C25" s="12" t="s">
        <v>12</v>
      </c>
      <c r="D25" s="13">
        <v>18.899999999999999</v>
      </c>
      <c r="E25" s="13">
        <v>17.2</v>
      </c>
      <c r="F25" s="13">
        <v>15.8</v>
      </c>
      <c r="G25" s="13">
        <f>SUM(D25:F25)</f>
        <v>51.899999999999991</v>
      </c>
      <c r="H25" s="14">
        <v>3</v>
      </c>
      <c r="I25" s="13"/>
      <c r="J25" s="13"/>
      <c r="K25" s="13"/>
      <c r="L25" s="14"/>
      <c r="M25" s="13"/>
      <c r="N25" s="13"/>
      <c r="O25" s="13"/>
      <c r="P25" s="14"/>
      <c r="Q25" s="15">
        <f t="shared" si="1"/>
        <v>3</v>
      </c>
    </row>
    <row r="26" spans="1:17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</sheetData>
  <sortState ref="B4:Q23">
    <sortCondition descending="1" ref="Q4:Q23"/>
  </sortState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18.85546875" style="4" bestFit="1" customWidth="1"/>
    <col min="4" max="4" width="6.28515625" style="4" customWidth="1"/>
    <col min="5" max="5" width="5.85546875" style="4" customWidth="1"/>
    <col min="6" max="6" width="6.140625" style="4" customWidth="1"/>
    <col min="7" max="7" width="11.85546875" style="4" bestFit="1" customWidth="1"/>
    <col min="8" max="8" width="18" style="4" customWidth="1"/>
    <col min="9" max="9" width="6.28515625" style="4" customWidth="1"/>
    <col min="10" max="10" width="6.5703125" style="4" customWidth="1"/>
    <col min="11" max="11" width="11.42578125" style="4"/>
    <col min="12" max="12" width="18.85546875" style="4" customWidth="1"/>
    <col min="13" max="13" width="6.28515625" style="4" customWidth="1"/>
    <col min="14" max="14" width="8.28515625" style="4" customWidth="1"/>
    <col min="15" max="15" width="11.42578125" style="4"/>
    <col min="16" max="16" width="19.42578125" style="4" customWidth="1"/>
    <col min="17" max="17" width="23.5703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219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206</v>
      </c>
      <c r="C6" s="12" t="s">
        <v>5</v>
      </c>
      <c r="D6" s="13">
        <v>19</v>
      </c>
      <c r="E6" s="13">
        <v>18.3</v>
      </c>
      <c r="F6" s="13">
        <v>19.2</v>
      </c>
      <c r="G6" s="13">
        <f>SUM(D6:F6)</f>
        <v>56.5</v>
      </c>
      <c r="H6" s="14">
        <v>13</v>
      </c>
      <c r="I6" s="13">
        <f>2.6+2.6+2.7+3.6+3.5+3.6</f>
        <v>18.600000000000001</v>
      </c>
      <c r="J6" s="13">
        <f>2.6+2.6+2.6+4.2+4.4+4.2</f>
        <v>20.599999999999998</v>
      </c>
      <c r="K6" s="13">
        <f>SUM(I6:J6)</f>
        <v>39.200000000000003</v>
      </c>
      <c r="L6" s="14">
        <v>13</v>
      </c>
      <c r="M6" s="13">
        <f>2.6+2.6+2.7+3.8+3.6+3.5</f>
        <v>18.799999999999997</v>
      </c>
      <c r="N6" s="13">
        <f>2.6+2.7+2.8+3.7+3.8+3.7</f>
        <v>19.3</v>
      </c>
      <c r="O6" s="13">
        <f>M6+N6</f>
        <v>38.099999999999994</v>
      </c>
      <c r="P6" s="14">
        <v>23</v>
      </c>
      <c r="Q6" s="15">
        <f t="shared" ref="Q6:Q46" si="0">H6+L6+P6</f>
        <v>49</v>
      </c>
    </row>
    <row r="7" spans="1:17" x14ac:dyDescent="0.25">
      <c r="A7" s="12">
        <v>2</v>
      </c>
      <c r="B7" s="12" t="s">
        <v>205</v>
      </c>
      <c r="C7" s="12" t="s">
        <v>9</v>
      </c>
      <c r="D7" s="13">
        <v>19.5</v>
      </c>
      <c r="E7" s="13">
        <v>19</v>
      </c>
      <c r="F7" s="13">
        <v>17.8</v>
      </c>
      <c r="G7" s="13">
        <f>SUM(D7:F7)</f>
        <v>56.3</v>
      </c>
      <c r="H7" s="14">
        <v>13</v>
      </c>
      <c r="I7" s="13">
        <f>2.7+2.6+2.7+3.6+3.5+3.6</f>
        <v>18.7</v>
      </c>
      <c r="J7" s="13">
        <f>2.7+2.6+2.6+4.3+4.1+4.3</f>
        <v>20.599999999999998</v>
      </c>
      <c r="K7" s="13">
        <f>SUM(I7:J7)</f>
        <v>39.299999999999997</v>
      </c>
      <c r="L7" s="14">
        <v>18</v>
      </c>
      <c r="M7" s="13">
        <f>2.8+2.6+2.6+3.7+3.5+3.6</f>
        <v>18.8</v>
      </c>
      <c r="N7" s="13">
        <f>2.6+2.6+2.7+3.6+3.7+3.6</f>
        <v>18.8</v>
      </c>
      <c r="O7" s="13">
        <f>M7+N7</f>
        <v>37.6</v>
      </c>
      <c r="P7" s="14">
        <v>13</v>
      </c>
      <c r="Q7" s="15">
        <f t="shared" si="0"/>
        <v>44</v>
      </c>
    </row>
    <row r="8" spans="1:17" x14ac:dyDescent="0.25">
      <c r="A8" s="12">
        <v>3</v>
      </c>
      <c r="B8" s="12" t="s">
        <v>204</v>
      </c>
      <c r="C8" s="12" t="s">
        <v>9</v>
      </c>
      <c r="D8" s="13">
        <v>19.600000000000001</v>
      </c>
      <c r="E8" s="13">
        <v>17.899999999999999</v>
      </c>
      <c r="F8" s="13">
        <v>17.399999999999999</v>
      </c>
      <c r="G8" s="13">
        <f>SUM(D8:F8)</f>
        <v>54.9</v>
      </c>
      <c r="H8" s="14">
        <v>3</v>
      </c>
      <c r="I8" s="13">
        <f>2.7+2.7+2.7+3.8+3.7+3.8</f>
        <v>19.400000000000002</v>
      </c>
      <c r="J8" s="13">
        <f>2.7+2.7+2.6+4.5+4.7+4.4</f>
        <v>21.6</v>
      </c>
      <c r="K8" s="13">
        <f>SUM(I8:J8)</f>
        <v>41</v>
      </c>
      <c r="L8" s="14">
        <v>23</v>
      </c>
      <c r="M8" s="13">
        <f>2.8+2.5+2.5+3.8+3.5+3.5</f>
        <v>18.600000000000001</v>
      </c>
      <c r="N8" s="13">
        <f>2.6+2.7+2.6+3.7+3.7+3.6</f>
        <v>18.900000000000002</v>
      </c>
      <c r="O8" s="13">
        <f>M8+N8</f>
        <v>37.5</v>
      </c>
      <c r="P8" s="14">
        <v>3</v>
      </c>
      <c r="Q8" s="15">
        <f t="shared" si="0"/>
        <v>29</v>
      </c>
    </row>
    <row r="9" spans="1:17" x14ac:dyDescent="0.25">
      <c r="A9" s="12">
        <v>4</v>
      </c>
      <c r="B9" s="12" t="s">
        <v>200</v>
      </c>
      <c r="C9" s="12" t="s">
        <v>57</v>
      </c>
      <c r="D9" s="13">
        <v>20.2</v>
      </c>
      <c r="E9" s="13">
        <v>20.2</v>
      </c>
      <c r="F9" s="13">
        <v>21.8</v>
      </c>
      <c r="G9" s="13">
        <f>SUM(D9:F9)</f>
        <v>62.2</v>
      </c>
      <c r="H9" s="14">
        <v>23</v>
      </c>
      <c r="I9" s="13"/>
      <c r="J9" s="13"/>
      <c r="K9" s="13"/>
      <c r="L9" s="14"/>
      <c r="M9" s="13"/>
      <c r="N9" s="13"/>
      <c r="O9" s="13"/>
      <c r="P9" s="14"/>
      <c r="Q9" s="15">
        <f t="shared" si="0"/>
        <v>23</v>
      </c>
    </row>
    <row r="10" spans="1:17" x14ac:dyDescent="0.25">
      <c r="A10" s="12">
        <v>5</v>
      </c>
      <c r="B10" s="12" t="s">
        <v>207</v>
      </c>
      <c r="C10" s="12" t="s">
        <v>5</v>
      </c>
      <c r="D10" s="13">
        <v>18.899999999999999</v>
      </c>
      <c r="E10" s="13">
        <v>17.5</v>
      </c>
      <c r="F10" s="13">
        <v>17.899999999999999</v>
      </c>
      <c r="G10" s="13">
        <f>SUM(D10:F10)</f>
        <v>54.3</v>
      </c>
      <c r="H10" s="14">
        <v>3</v>
      </c>
      <c r="I10" s="13">
        <f>2.7+2.6+2.7+3.4+3.5+3.7</f>
        <v>18.600000000000001</v>
      </c>
      <c r="J10" s="13">
        <f>2.7+2.5+2.6+4.2+4.2+4.1</f>
        <v>20.299999999999997</v>
      </c>
      <c r="K10" s="13">
        <f>SUM(I10:J10)</f>
        <v>38.9</v>
      </c>
      <c r="L10" s="14">
        <v>3</v>
      </c>
      <c r="M10" s="13">
        <f>2.7+2.5+2.6+3.7+3.5+3.6</f>
        <v>18.600000000000001</v>
      </c>
      <c r="N10" s="13">
        <f>2.7+2.7+2.7+3.7+3.7+3.7</f>
        <v>19.2</v>
      </c>
      <c r="O10" s="13">
        <f>M10+N10</f>
        <v>37.799999999999997</v>
      </c>
      <c r="P10" s="14">
        <v>13</v>
      </c>
      <c r="Q10" s="15">
        <f t="shared" si="0"/>
        <v>19</v>
      </c>
    </row>
    <row r="11" spans="1:17" x14ac:dyDescent="0.25">
      <c r="A11" s="12">
        <v>6</v>
      </c>
      <c r="B11" s="16" t="s">
        <v>521</v>
      </c>
      <c r="C11" s="12" t="s">
        <v>668</v>
      </c>
      <c r="D11" s="13"/>
      <c r="E11" s="13"/>
      <c r="F11" s="13"/>
      <c r="G11" s="13"/>
      <c r="H11" s="14"/>
      <c r="I11" s="13"/>
      <c r="J11" s="13"/>
      <c r="K11" s="13"/>
      <c r="L11" s="14"/>
      <c r="M11" s="13">
        <f>2.6+2.6+2.7+3.7+3.7+3.7</f>
        <v>19</v>
      </c>
      <c r="N11" s="13">
        <f>2.7+2.6+2.7+3.7+3.7+3.7</f>
        <v>19.099999999999998</v>
      </c>
      <c r="O11" s="13">
        <f>M11+N11</f>
        <v>38.099999999999994</v>
      </c>
      <c r="P11" s="14">
        <v>18</v>
      </c>
      <c r="Q11" s="15">
        <f t="shared" si="0"/>
        <v>18</v>
      </c>
    </row>
    <row r="12" spans="1:17" x14ac:dyDescent="0.25">
      <c r="A12" s="12">
        <v>7</v>
      </c>
      <c r="B12" s="12" t="s">
        <v>215</v>
      </c>
      <c r="C12" s="12" t="s">
        <v>57</v>
      </c>
      <c r="D12" s="13">
        <v>19.5</v>
      </c>
      <c r="E12" s="13">
        <v>19.899999999999999</v>
      </c>
      <c r="F12" s="13">
        <v>21.6</v>
      </c>
      <c r="G12" s="13">
        <f>SUM(D12:F12)</f>
        <v>61</v>
      </c>
      <c r="H12" s="14">
        <v>18</v>
      </c>
      <c r="I12" s="13"/>
      <c r="J12" s="13"/>
      <c r="K12" s="13"/>
      <c r="L12" s="14"/>
      <c r="M12" s="13"/>
      <c r="N12" s="13"/>
      <c r="O12" s="13"/>
      <c r="P12" s="14"/>
      <c r="Q12" s="15">
        <f t="shared" si="0"/>
        <v>18</v>
      </c>
    </row>
    <row r="13" spans="1:17" x14ac:dyDescent="0.25">
      <c r="A13" s="12">
        <v>8</v>
      </c>
      <c r="B13" s="16" t="s">
        <v>483</v>
      </c>
      <c r="C13" s="12" t="s">
        <v>95</v>
      </c>
      <c r="D13" s="13"/>
      <c r="E13" s="13"/>
      <c r="F13" s="13"/>
      <c r="G13" s="13"/>
      <c r="H13" s="14"/>
      <c r="I13" s="13">
        <f>2.6+2.6+2.6+3.5+3.5+3.5</f>
        <v>18.3</v>
      </c>
      <c r="J13" s="13">
        <f>2.7+2.7+2.6+4.3+4.5+4.1</f>
        <v>20.9</v>
      </c>
      <c r="K13" s="13">
        <f t="shared" ref="K13:K25" si="1">SUM(I13:J13)</f>
        <v>39.200000000000003</v>
      </c>
      <c r="L13" s="14">
        <v>13</v>
      </c>
      <c r="M13" s="13">
        <f>2.5+2.5+2.6+3.4+3.5+3.5</f>
        <v>18</v>
      </c>
      <c r="N13" s="13">
        <f>2.6+2.6+2.7+3.6+3.7+3.5</f>
        <v>18.7</v>
      </c>
      <c r="O13" s="13">
        <f t="shared" ref="O13:O27" si="2">M13+N13</f>
        <v>36.700000000000003</v>
      </c>
      <c r="P13" s="14">
        <v>3</v>
      </c>
      <c r="Q13" s="15">
        <f t="shared" si="0"/>
        <v>16</v>
      </c>
    </row>
    <row r="14" spans="1:17" x14ac:dyDescent="0.25">
      <c r="A14" s="12">
        <v>9</v>
      </c>
      <c r="B14" s="12" t="s">
        <v>209</v>
      </c>
      <c r="C14" s="12" t="s">
        <v>95</v>
      </c>
      <c r="D14" s="13">
        <v>17.100000000000001</v>
      </c>
      <c r="E14" s="13">
        <v>16.8</v>
      </c>
      <c r="F14" s="13">
        <v>16.600000000000001</v>
      </c>
      <c r="G14" s="13">
        <f>SUM(D14:F14)</f>
        <v>50.500000000000007</v>
      </c>
      <c r="H14" s="14">
        <v>3</v>
      </c>
      <c r="I14" s="13">
        <f>2.6+2.6+2.7+3.4+3.4+3.4</f>
        <v>18.100000000000001</v>
      </c>
      <c r="J14" s="13">
        <f>2.5+2.5+2.5+4.2+4.1+4</f>
        <v>19.799999999999997</v>
      </c>
      <c r="K14" s="13">
        <f t="shared" si="1"/>
        <v>37.9</v>
      </c>
      <c r="L14" s="14">
        <v>3</v>
      </c>
      <c r="M14" s="13">
        <f>2.3+2.1+2.3+3.6+3.2+3.2</f>
        <v>16.7</v>
      </c>
      <c r="N14" s="13">
        <f>2.7+2.5+2.5+3.6+3.5+3.6</f>
        <v>18.400000000000002</v>
      </c>
      <c r="O14" s="13">
        <f t="shared" si="2"/>
        <v>35.1</v>
      </c>
      <c r="P14" s="14">
        <v>3</v>
      </c>
      <c r="Q14" s="15">
        <f t="shared" si="0"/>
        <v>9</v>
      </c>
    </row>
    <row r="15" spans="1:17" x14ac:dyDescent="0.25">
      <c r="A15" s="12">
        <v>10</v>
      </c>
      <c r="B15" s="12" t="s">
        <v>202</v>
      </c>
      <c r="C15" s="12" t="s">
        <v>26</v>
      </c>
      <c r="D15" s="13">
        <v>16.100000000000001</v>
      </c>
      <c r="E15" s="13">
        <v>16.5</v>
      </c>
      <c r="F15" s="13">
        <v>15.8</v>
      </c>
      <c r="G15" s="13">
        <f>SUM(D15:F15)</f>
        <v>48.400000000000006</v>
      </c>
      <c r="H15" s="14">
        <v>3</v>
      </c>
      <c r="I15" s="13">
        <f>2.6+2.6+2.6+3.4+3.4+3.6</f>
        <v>18.200000000000003</v>
      </c>
      <c r="J15" s="13">
        <f>2.3+2.2+2.3+3.9+3.5+3.7</f>
        <v>17.899999999999999</v>
      </c>
      <c r="K15" s="13">
        <f t="shared" si="1"/>
        <v>36.1</v>
      </c>
      <c r="L15" s="14">
        <v>3</v>
      </c>
      <c r="M15" s="13">
        <f>2.4+2.2+2.3+3.2+3.2+3.3</f>
        <v>16.600000000000001</v>
      </c>
      <c r="N15" s="13">
        <f>2.5+2.5+2.5+3.6+3.5+3.5</f>
        <v>18.100000000000001</v>
      </c>
      <c r="O15" s="13">
        <f t="shared" si="2"/>
        <v>34.700000000000003</v>
      </c>
      <c r="P15" s="14">
        <v>3</v>
      </c>
      <c r="Q15" s="15">
        <f t="shared" si="0"/>
        <v>9</v>
      </c>
    </row>
    <row r="16" spans="1:17" x14ac:dyDescent="0.25">
      <c r="A16" s="12">
        <v>11</v>
      </c>
      <c r="B16" s="12" t="s">
        <v>211</v>
      </c>
      <c r="C16" s="12" t="s">
        <v>15</v>
      </c>
      <c r="D16" s="13">
        <v>16</v>
      </c>
      <c r="E16" s="13">
        <v>16.3</v>
      </c>
      <c r="F16" s="13">
        <v>16.7</v>
      </c>
      <c r="G16" s="13">
        <f>SUM(D16:F16)</f>
        <v>49</v>
      </c>
      <c r="H16" s="14">
        <v>3</v>
      </c>
      <c r="I16" s="13">
        <f>2.6+2.6+2.5+3.5+3.6+3.3</f>
        <v>18.099999999999998</v>
      </c>
      <c r="J16" s="13">
        <f>2.4+2.3+2.3+4.1+3.7+3.8</f>
        <v>18.599999999999998</v>
      </c>
      <c r="K16" s="13">
        <f t="shared" si="1"/>
        <v>36.699999999999996</v>
      </c>
      <c r="L16" s="14">
        <v>3</v>
      </c>
      <c r="M16" s="13">
        <f>2.2+2.2+2.2+3.3+3.3+3.3</f>
        <v>16.5</v>
      </c>
      <c r="N16" s="13">
        <f>2.4+2.6+2.5+3.5+3.6+3.5</f>
        <v>18.100000000000001</v>
      </c>
      <c r="O16" s="13">
        <f t="shared" si="2"/>
        <v>34.6</v>
      </c>
      <c r="P16" s="14">
        <v>3</v>
      </c>
      <c r="Q16" s="15">
        <f t="shared" si="0"/>
        <v>9</v>
      </c>
    </row>
    <row r="17" spans="1:17" x14ac:dyDescent="0.25">
      <c r="A17" s="12">
        <v>12</v>
      </c>
      <c r="B17" s="12" t="s">
        <v>202</v>
      </c>
      <c r="C17" s="12" t="s">
        <v>6</v>
      </c>
      <c r="D17" s="13">
        <v>15.7</v>
      </c>
      <c r="E17" s="13">
        <v>15.7</v>
      </c>
      <c r="F17" s="13">
        <v>15.2</v>
      </c>
      <c r="G17" s="13">
        <f>SUM(D17:F17)</f>
        <v>46.599999999999994</v>
      </c>
      <c r="H17" s="14">
        <v>3</v>
      </c>
      <c r="I17" s="13">
        <f>2.5+2.5+2.5+3.3+3.4+3.4</f>
        <v>17.600000000000001</v>
      </c>
      <c r="J17" s="13">
        <f>2.4+2.4+2.5+4.1+4+3.9</f>
        <v>19.299999999999997</v>
      </c>
      <c r="K17" s="13">
        <f t="shared" si="1"/>
        <v>36.9</v>
      </c>
      <c r="L17" s="14">
        <v>3</v>
      </c>
      <c r="M17" s="13">
        <f>2.4+2.2+2.1+3.3+3.2+3.2</f>
        <v>16.399999999999999</v>
      </c>
      <c r="N17" s="13">
        <f>2.4+2.4+2.4+3.4+3.4+3.5</f>
        <v>17.5</v>
      </c>
      <c r="O17" s="13">
        <f t="shared" si="2"/>
        <v>33.9</v>
      </c>
      <c r="P17" s="14">
        <v>3</v>
      </c>
      <c r="Q17" s="15">
        <f t="shared" si="0"/>
        <v>9</v>
      </c>
    </row>
    <row r="18" spans="1:17" x14ac:dyDescent="0.25">
      <c r="A18" s="12">
        <v>13</v>
      </c>
      <c r="B18" s="16" t="s">
        <v>478</v>
      </c>
      <c r="C18" s="12" t="s">
        <v>82</v>
      </c>
      <c r="D18" s="13"/>
      <c r="E18" s="13"/>
      <c r="F18" s="13"/>
      <c r="G18" s="13"/>
      <c r="H18" s="14"/>
      <c r="I18" s="13">
        <f>2.6+2.6+2.7+3.8+3.7+3.3</f>
        <v>18.7</v>
      </c>
      <c r="J18" s="13">
        <f>2.6+2.7+2.6+3.9+4.4+4.1</f>
        <v>20.300000000000004</v>
      </c>
      <c r="K18" s="13">
        <f t="shared" si="1"/>
        <v>39</v>
      </c>
      <c r="L18" s="14">
        <v>3</v>
      </c>
      <c r="M18" s="13">
        <f>2.6+2.4+2.4+3.6+3.5+3.5</f>
        <v>18</v>
      </c>
      <c r="N18" s="13">
        <f>2.6+2.6+2.5+3.5+3.6+3.6</f>
        <v>18.399999999999999</v>
      </c>
      <c r="O18" s="13">
        <f t="shared" si="2"/>
        <v>36.4</v>
      </c>
      <c r="P18" s="14">
        <v>3</v>
      </c>
      <c r="Q18" s="15">
        <f t="shared" si="0"/>
        <v>6</v>
      </c>
    </row>
    <row r="19" spans="1:17" x14ac:dyDescent="0.25">
      <c r="A19" s="12">
        <v>14</v>
      </c>
      <c r="B19" s="16" t="s">
        <v>488</v>
      </c>
      <c r="C19" s="12" t="s">
        <v>431</v>
      </c>
      <c r="D19" s="13"/>
      <c r="E19" s="13"/>
      <c r="F19" s="13"/>
      <c r="G19" s="13"/>
      <c r="H19" s="14"/>
      <c r="I19" s="13">
        <f>2.6+2.6+2.7+3.3+3.6+3.7</f>
        <v>18.5</v>
      </c>
      <c r="J19" s="13">
        <f>2.6+2.5+2.6+4.2+3.8+4.2</f>
        <v>19.899999999999999</v>
      </c>
      <c r="K19" s="13">
        <f t="shared" si="1"/>
        <v>38.4</v>
      </c>
      <c r="L19" s="14">
        <v>3</v>
      </c>
      <c r="M19" s="13">
        <f>2.3+2.3+2.4+3.4+3.4+3.4</f>
        <v>17.2</v>
      </c>
      <c r="N19" s="13">
        <f>2.6+2.6+2.5+3.6+3.7+3.4</f>
        <v>18.399999999999999</v>
      </c>
      <c r="O19" s="13">
        <f t="shared" si="2"/>
        <v>35.599999999999994</v>
      </c>
      <c r="P19" s="14">
        <v>3</v>
      </c>
      <c r="Q19" s="15">
        <f t="shared" si="0"/>
        <v>6</v>
      </c>
    </row>
    <row r="20" spans="1:17" x14ac:dyDescent="0.25">
      <c r="A20" s="12">
        <v>15</v>
      </c>
      <c r="B20" s="16" t="s">
        <v>477</v>
      </c>
      <c r="C20" s="12" t="s">
        <v>397</v>
      </c>
      <c r="D20" s="13"/>
      <c r="E20" s="13"/>
      <c r="F20" s="13"/>
      <c r="G20" s="13"/>
      <c r="H20" s="14"/>
      <c r="I20" s="13">
        <f>2.6+2.6+2.6+3.5+3.5+3.5</f>
        <v>18.3</v>
      </c>
      <c r="J20" s="13">
        <f>2.6+2.4+2.4+3.9+3.5+3.9</f>
        <v>18.7</v>
      </c>
      <c r="K20" s="13">
        <f t="shared" si="1"/>
        <v>37</v>
      </c>
      <c r="L20" s="14">
        <v>3</v>
      </c>
      <c r="M20" s="13">
        <f>2.6+2.4+2.3+3.6+3.4+3.3</f>
        <v>17.600000000000001</v>
      </c>
      <c r="N20" s="13">
        <f>2.5+2.5+2.4+3.5+3.5+3.5</f>
        <v>17.899999999999999</v>
      </c>
      <c r="O20" s="13">
        <f t="shared" si="2"/>
        <v>35.5</v>
      </c>
      <c r="P20" s="14">
        <v>3</v>
      </c>
      <c r="Q20" s="15">
        <f t="shared" si="0"/>
        <v>6</v>
      </c>
    </row>
    <row r="21" spans="1:17" x14ac:dyDescent="0.25">
      <c r="A21" s="12">
        <v>16</v>
      </c>
      <c r="B21" s="16" t="s">
        <v>480</v>
      </c>
      <c r="C21" s="12" t="s">
        <v>397</v>
      </c>
      <c r="D21" s="13"/>
      <c r="E21" s="13"/>
      <c r="F21" s="13"/>
      <c r="G21" s="13"/>
      <c r="H21" s="14"/>
      <c r="I21" s="13">
        <f>2.5+2.5+2.6+3.5+3.4+3.4</f>
        <v>17.899999999999999</v>
      </c>
      <c r="J21" s="13">
        <f>2.3+2.5+2.5+3.9+4.2+3.9</f>
        <v>19.299999999999997</v>
      </c>
      <c r="K21" s="13">
        <f t="shared" si="1"/>
        <v>37.199999999999996</v>
      </c>
      <c r="L21" s="14">
        <v>3</v>
      </c>
      <c r="M21" s="13">
        <f>2.5+2.4+2.4+3.6+3.3+3.3</f>
        <v>17.5</v>
      </c>
      <c r="N21" s="13">
        <f>2.5+2.5+2.4+3.6+3.5+3.4</f>
        <v>17.899999999999999</v>
      </c>
      <c r="O21" s="13">
        <f t="shared" si="2"/>
        <v>35.4</v>
      </c>
      <c r="P21" s="14">
        <v>3</v>
      </c>
      <c r="Q21" s="15">
        <f t="shared" si="0"/>
        <v>6</v>
      </c>
    </row>
    <row r="22" spans="1:17" x14ac:dyDescent="0.25">
      <c r="A22" s="12">
        <v>17</v>
      </c>
      <c r="B22" s="16" t="s">
        <v>490</v>
      </c>
      <c r="C22" s="12" t="s">
        <v>311</v>
      </c>
      <c r="D22" s="13"/>
      <c r="E22" s="13"/>
      <c r="F22" s="13"/>
      <c r="G22" s="13"/>
      <c r="H22" s="14"/>
      <c r="I22" s="13">
        <f>2.6+2.6+2.6+3.4+3.5+3.4</f>
        <v>18.100000000000001</v>
      </c>
      <c r="J22" s="13">
        <f>2.7+2.5+2.6+4.1+3.7+3.9</f>
        <v>19.5</v>
      </c>
      <c r="K22" s="13">
        <f t="shared" si="1"/>
        <v>37.6</v>
      </c>
      <c r="L22" s="14">
        <v>3</v>
      </c>
      <c r="M22" s="13">
        <f>2.3+2.4+2.3+3.3+3.3+3.4</f>
        <v>16.999999999999996</v>
      </c>
      <c r="N22" s="13">
        <f>2.5+2.4+2.5+3.5+3.4+3.4</f>
        <v>17.7</v>
      </c>
      <c r="O22" s="13">
        <f t="shared" si="2"/>
        <v>34.699999999999996</v>
      </c>
      <c r="P22" s="14">
        <v>3</v>
      </c>
      <c r="Q22" s="15">
        <f t="shared" si="0"/>
        <v>6</v>
      </c>
    </row>
    <row r="23" spans="1:17" x14ac:dyDescent="0.25">
      <c r="A23" s="12">
        <v>18</v>
      </c>
      <c r="B23" s="16" t="s">
        <v>476</v>
      </c>
      <c r="C23" s="12" t="s">
        <v>444</v>
      </c>
      <c r="D23" s="13"/>
      <c r="E23" s="13"/>
      <c r="F23" s="13"/>
      <c r="G23" s="13"/>
      <c r="H23" s="14"/>
      <c r="I23" s="13">
        <f>2.5+2.5+2.5+3.4+3.4+3.4</f>
        <v>17.7</v>
      </c>
      <c r="J23" s="13">
        <f>2.5+2.5+2.5+3.8+4.2+3.8</f>
        <v>19.3</v>
      </c>
      <c r="K23" s="13">
        <f t="shared" si="1"/>
        <v>37</v>
      </c>
      <c r="L23" s="14">
        <v>3</v>
      </c>
      <c r="M23" s="13">
        <f>2.2+2.2+2.3+3.2+3.2+3.3</f>
        <v>16.400000000000002</v>
      </c>
      <c r="N23" s="13">
        <f>2.4+2.5+2.5+3.4+3.5+3.4</f>
        <v>17.7</v>
      </c>
      <c r="O23" s="13">
        <f t="shared" si="2"/>
        <v>34.1</v>
      </c>
      <c r="P23" s="14">
        <v>3</v>
      </c>
      <c r="Q23" s="15">
        <f t="shared" si="0"/>
        <v>6</v>
      </c>
    </row>
    <row r="24" spans="1:17" x14ac:dyDescent="0.25">
      <c r="A24" s="12">
        <v>19</v>
      </c>
      <c r="B24" s="16" t="s">
        <v>486</v>
      </c>
      <c r="C24" s="12" t="s">
        <v>397</v>
      </c>
      <c r="D24" s="13"/>
      <c r="E24" s="13"/>
      <c r="F24" s="13"/>
      <c r="G24" s="13"/>
      <c r="H24" s="14"/>
      <c r="I24" s="13">
        <f>2.5+2.5+2.6+3.4+3.4+3.3</f>
        <v>17.7</v>
      </c>
      <c r="J24" s="13">
        <f>2.4+2.3+2.4+4.2+4+3.9</f>
        <v>19.2</v>
      </c>
      <c r="K24" s="13">
        <f t="shared" si="1"/>
        <v>36.9</v>
      </c>
      <c r="L24" s="14">
        <v>3</v>
      </c>
      <c r="M24" s="13">
        <f>2.4+2.3+2.2+3.4+3.3+3.2</f>
        <v>16.799999999999997</v>
      </c>
      <c r="N24" s="13">
        <f>2.3+2.4+2.3+3.4+3.4+3.4</f>
        <v>17.2</v>
      </c>
      <c r="O24" s="13">
        <f t="shared" si="2"/>
        <v>34</v>
      </c>
      <c r="P24" s="14">
        <v>3</v>
      </c>
      <c r="Q24" s="15">
        <f t="shared" si="0"/>
        <v>6</v>
      </c>
    </row>
    <row r="25" spans="1:17" x14ac:dyDescent="0.25">
      <c r="A25" s="12">
        <v>20</v>
      </c>
      <c r="B25" s="16" t="s">
        <v>479</v>
      </c>
      <c r="C25" s="12" t="s">
        <v>82</v>
      </c>
      <c r="D25" s="13"/>
      <c r="E25" s="13"/>
      <c r="F25" s="13"/>
      <c r="G25" s="13"/>
      <c r="H25" s="14"/>
      <c r="I25" s="13">
        <f>2.5+2.5+2.5+3.3+3.3+3.4</f>
        <v>17.5</v>
      </c>
      <c r="J25" s="13">
        <f>2.4+2.5+2.5+3.9+3.8+3.9</f>
        <v>19</v>
      </c>
      <c r="K25" s="13">
        <f t="shared" si="1"/>
        <v>36.5</v>
      </c>
      <c r="L25" s="14">
        <v>3</v>
      </c>
      <c r="M25" s="13">
        <f>2.4+2.2+2.3+3.5+3.2+3.3</f>
        <v>16.899999999999999</v>
      </c>
      <c r="N25" s="13">
        <f>2.3+2.4+2.3+3.3+3.4+3.4</f>
        <v>17.099999999999998</v>
      </c>
      <c r="O25" s="13">
        <f t="shared" si="2"/>
        <v>34</v>
      </c>
      <c r="P25" s="14">
        <v>3</v>
      </c>
      <c r="Q25" s="15">
        <f t="shared" si="0"/>
        <v>6</v>
      </c>
    </row>
    <row r="26" spans="1:17" x14ac:dyDescent="0.25">
      <c r="A26" s="12">
        <v>21</v>
      </c>
      <c r="B26" s="12" t="s">
        <v>199</v>
      </c>
      <c r="C26" s="12" t="s">
        <v>120</v>
      </c>
      <c r="D26" s="13">
        <v>19.2</v>
      </c>
      <c r="E26" s="13">
        <v>17.3</v>
      </c>
      <c r="F26" s="13">
        <v>17.100000000000001</v>
      </c>
      <c r="G26" s="13">
        <f>SUM(D26:F26)</f>
        <v>53.6</v>
      </c>
      <c r="H26" s="14">
        <v>3</v>
      </c>
      <c r="I26" s="13"/>
      <c r="J26" s="13"/>
      <c r="K26" s="13"/>
      <c r="L26" s="14"/>
      <c r="M26" s="13">
        <f>2.6+2.5+2.5+3.5+3.6+0.6</f>
        <v>15.299999999999999</v>
      </c>
      <c r="N26" s="13">
        <f>2.4+2.6+2.5+3.7+3.6+3.6</f>
        <v>18.399999999999999</v>
      </c>
      <c r="O26" s="13">
        <f t="shared" si="2"/>
        <v>33.699999999999996</v>
      </c>
      <c r="P26" s="14">
        <v>3</v>
      </c>
      <c r="Q26" s="15">
        <f t="shared" si="0"/>
        <v>6</v>
      </c>
    </row>
    <row r="27" spans="1:17" x14ac:dyDescent="0.25">
      <c r="A27" s="12">
        <v>22</v>
      </c>
      <c r="B27" s="16" t="s">
        <v>482</v>
      </c>
      <c r="C27" s="12" t="s">
        <v>82</v>
      </c>
      <c r="D27" s="13"/>
      <c r="E27" s="13"/>
      <c r="F27" s="13"/>
      <c r="G27" s="13"/>
      <c r="H27" s="14"/>
      <c r="I27" s="13">
        <f>2.5+2.5+2.6+3.4+3.4+3.4</f>
        <v>17.8</v>
      </c>
      <c r="J27" s="13">
        <f>2.3+2.4+2.4+3.7+3.9+3.7</f>
        <v>18.400000000000002</v>
      </c>
      <c r="K27" s="13">
        <f>SUM(I27:J27)</f>
        <v>36.200000000000003</v>
      </c>
      <c r="L27" s="14">
        <v>3</v>
      </c>
      <c r="M27" s="13">
        <f>2.2+2.2+2+3.2+3.1+3.2</f>
        <v>15.900000000000002</v>
      </c>
      <c r="N27" s="13">
        <f>2.3+2.4+2.3+3.2+3.3+3.3</f>
        <v>16.8</v>
      </c>
      <c r="O27" s="13">
        <f t="shared" si="2"/>
        <v>32.700000000000003</v>
      </c>
      <c r="P27" s="14">
        <v>3</v>
      </c>
      <c r="Q27" s="15">
        <f t="shared" si="0"/>
        <v>6</v>
      </c>
    </row>
    <row r="28" spans="1:17" x14ac:dyDescent="0.25">
      <c r="A28" s="12">
        <v>23</v>
      </c>
      <c r="B28" s="12" t="s">
        <v>212</v>
      </c>
      <c r="C28" s="12" t="s">
        <v>15</v>
      </c>
      <c r="D28" s="13">
        <v>17.600000000000001</v>
      </c>
      <c r="E28" s="13">
        <v>17.3</v>
      </c>
      <c r="F28" s="13">
        <v>16.399999999999999</v>
      </c>
      <c r="G28" s="13">
        <f>SUM(D28:F28)</f>
        <v>51.300000000000004</v>
      </c>
      <c r="H28" s="14">
        <v>3</v>
      </c>
      <c r="I28" s="13">
        <f>2.6+2.5+2.6+3.4+3.4+3.4</f>
        <v>17.899999999999999</v>
      </c>
      <c r="J28" s="13">
        <f>2.6+2.5+2.6+4.1+3.9+4</f>
        <v>19.7</v>
      </c>
      <c r="K28" s="13">
        <f>SUM(I28:J28)</f>
        <v>37.599999999999994</v>
      </c>
      <c r="L28" s="14">
        <v>3</v>
      </c>
      <c r="M28" s="13"/>
      <c r="N28" s="13"/>
      <c r="O28" s="13"/>
      <c r="P28" s="14"/>
      <c r="Q28" s="15">
        <f t="shared" si="0"/>
        <v>6</v>
      </c>
    </row>
    <row r="29" spans="1:17" x14ac:dyDescent="0.25">
      <c r="A29" s="12">
        <v>24</v>
      </c>
      <c r="B29" s="12" t="s">
        <v>208</v>
      </c>
      <c r="C29" s="12" t="s">
        <v>5</v>
      </c>
      <c r="D29" s="13">
        <v>17.8</v>
      </c>
      <c r="E29" s="13">
        <v>16.8</v>
      </c>
      <c r="F29" s="13">
        <v>16.8</v>
      </c>
      <c r="G29" s="13">
        <f>SUM(D29:F29)</f>
        <v>51.400000000000006</v>
      </c>
      <c r="H29" s="14">
        <v>3</v>
      </c>
      <c r="I29" s="13">
        <f>2.6+2.6+2.6+3.3+3.4+3.5</f>
        <v>18</v>
      </c>
      <c r="J29" s="13">
        <f>2.5+2.6+2.5+3.9+4+3.9</f>
        <v>19.399999999999999</v>
      </c>
      <c r="K29" s="13">
        <f>SUM(I29:J29)</f>
        <v>37.4</v>
      </c>
      <c r="L29" s="14">
        <v>3</v>
      </c>
      <c r="M29" s="13"/>
      <c r="N29" s="13"/>
      <c r="O29" s="13"/>
      <c r="P29" s="14"/>
      <c r="Q29" s="15">
        <f t="shared" si="0"/>
        <v>6</v>
      </c>
    </row>
    <row r="30" spans="1:17" x14ac:dyDescent="0.25">
      <c r="A30" s="12">
        <v>25</v>
      </c>
      <c r="B30" s="12" t="s">
        <v>217</v>
      </c>
      <c r="C30" s="12" t="s">
        <v>29</v>
      </c>
      <c r="D30" s="13">
        <v>16.399999999999999</v>
      </c>
      <c r="E30" s="13">
        <v>16.2</v>
      </c>
      <c r="F30" s="13">
        <v>15.7</v>
      </c>
      <c r="G30" s="13">
        <f>SUM(D30:F30)</f>
        <v>48.3</v>
      </c>
      <c r="H30" s="14">
        <v>3</v>
      </c>
      <c r="I30" s="13">
        <f>2.5+2.5+2.6+3.3+3.3+3.6</f>
        <v>17.8</v>
      </c>
      <c r="J30" s="13">
        <f>2.2+2.1+2.4+3.7+3.3+3.7</f>
        <v>17.400000000000002</v>
      </c>
      <c r="K30" s="13">
        <f>SUM(I30:J30)</f>
        <v>35.200000000000003</v>
      </c>
      <c r="L30" s="14">
        <v>3</v>
      </c>
      <c r="M30" s="13"/>
      <c r="N30" s="13"/>
      <c r="O30" s="13"/>
      <c r="P30" s="14"/>
      <c r="Q30" s="15">
        <f t="shared" si="0"/>
        <v>6</v>
      </c>
    </row>
    <row r="31" spans="1:17" x14ac:dyDescent="0.25">
      <c r="A31" s="12">
        <v>26</v>
      </c>
      <c r="B31" s="16" t="s">
        <v>489</v>
      </c>
      <c r="C31" s="12" t="s">
        <v>431</v>
      </c>
      <c r="D31" s="13"/>
      <c r="E31" s="13"/>
      <c r="F31" s="13"/>
      <c r="G31" s="13"/>
      <c r="H31" s="14"/>
      <c r="I31" s="13"/>
      <c r="J31" s="13"/>
      <c r="K31" s="13"/>
      <c r="L31" s="14"/>
      <c r="M31" s="13">
        <f>2.4+2.4+2.4+3.4+3.5+3.5</f>
        <v>17.600000000000001</v>
      </c>
      <c r="N31" s="13">
        <f>2.5+2.6+2.4+3.6+3.7+3.5</f>
        <v>18.3</v>
      </c>
      <c r="O31" s="13">
        <f>M31+N31</f>
        <v>35.900000000000006</v>
      </c>
      <c r="P31" s="14">
        <v>3</v>
      </c>
      <c r="Q31" s="15">
        <f t="shared" si="0"/>
        <v>3</v>
      </c>
    </row>
    <row r="32" spans="1:17" x14ac:dyDescent="0.25">
      <c r="A32" s="12">
        <v>27</v>
      </c>
      <c r="B32" s="16" t="s">
        <v>711</v>
      </c>
      <c r="C32" s="12" t="s">
        <v>444</v>
      </c>
      <c r="D32" s="13"/>
      <c r="E32" s="13"/>
      <c r="F32" s="13"/>
      <c r="G32" s="13"/>
      <c r="H32" s="14"/>
      <c r="I32" s="13"/>
      <c r="J32" s="13"/>
      <c r="K32" s="13"/>
      <c r="L32" s="14"/>
      <c r="M32" s="13">
        <f>2.3+2.2+2.2+3.3+3.1+3.2</f>
        <v>16.3</v>
      </c>
      <c r="N32" s="13">
        <f>2.5+2.5+2.5+3.5+3.5+3.5</f>
        <v>18</v>
      </c>
      <c r="O32" s="13">
        <f>M32+N32</f>
        <v>34.299999999999997</v>
      </c>
      <c r="P32" s="14">
        <v>3</v>
      </c>
      <c r="Q32" s="15">
        <f t="shared" si="0"/>
        <v>3</v>
      </c>
    </row>
    <row r="33" spans="1:17" x14ac:dyDescent="0.25">
      <c r="A33" s="12">
        <v>28</v>
      </c>
      <c r="B33" s="16" t="s">
        <v>710</v>
      </c>
      <c r="C33" s="12" t="s">
        <v>444</v>
      </c>
      <c r="D33" s="13"/>
      <c r="E33" s="13"/>
      <c r="F33" s="13"/>
      <c r="G33" s="13"/>
      <c r="H33" s="14"/>
      <c r="I33" s="13"/>
      <c r="J33" s="13"/>
      <c r="K33" s="13"/>
      <c r="L33" s="14"/>
      <c r="M33" s="13">
        <f>2.2+2.1+2+3.2+3.1+3.1</f>
        <v>15.7</v>
      </c>
      <c r="N33" s="13">
        <f>2.4+2.5+2.4+3.4+3.5+3.4</f>
        <v>17.600000000000001</v>
      </c>
      <c r="O33" s="13">
        <f>M33+N33</f>
        <v>33.299999999999997</v>
      </c>
      <c r="P33" s="14">
        <v>3</v>
      </c>
      <c r="Q33" s="15">
        <f t="shared" si="0"/>
        <v>3</v>
      </c>
    </row>
    <row r="34" spans="1:17" x14ac:dyDescent="0.25">
      <c r="A34" s="12">
        <v>29</v>
      </c>
      <c r="B34" s="16" t="s">
        <v>485</v>
      </c>
      <c r="C34" s="12" t="s">
        <v>9</v>
      </c>
      <c r="D34" s="13"/>
      <c r="E34" s="13"/>
      <c r="F34" s="13"/>
      <c r="G34" s="13"/>
      <c r="H34" s="14"/>
      <c r="I34" s="13">
        <f>2.7+2.6+2.7+3.4+3.5+3.8</f>
        <v>18.7</v>
      </c>
      <c r="J34" s="13">
        <f>2.7+2.6+2.6+4.2+4+4.4</f>
        <v>20.5</v>
      </c>
      <c r="K34" s="13">
        <f t="shared" ref="K34:K39" si="3">SUM(I34:J34)</f>
        <v>39.200000000000003</v>
      </c>
      <c r="L34" s="14">
        <v>3</v>
      </c>
      <c r="M34" s="13"/>
      <c r="N34" s="13"/>
      <c r="O34" s="13"/>
      <c r="P34" s="14"/>
      <c r="Q34" s="15">
        <f t="shared" si="0"/>
        <v>3</v>
      </c>
    </row>
    <row r="35" spans="1:17" x14ac:dyDescent="0.25">
      <c r="A35" s="12">
        <v>30</v>
      </c>
      <c r="B35" s="16" t="s">
        <v>481</v>
      </c>
      <c r="C35" s="12" t="s">
        <v>397</v>
      </c>
      <c r="D35" s="13"/>
      <c r="E35" s="13"/>
      <c r="F35" s="13"/>
      <c r="G35" s="13"/>
      <c r="H35" s="14"/>
      <c r="I35" s="13">
        <f>2.6+2.6+2.6+3.3+3.5+3.4</f>
        <v>18</v>
      </c>
      <c r="J35" s="13">
        <f>2.7+2.5+2.5+4.3+3.7+4</f>
        <v>19.7</v>
      </c>
      <c r="K35" s="13">
        <f t="shared" si="3"/>
        <v>37.700000000000003</v>
      </c>
      <c r="L35" s="14">
        <v>3</v>
      </c>
      <c r="M35" s="13"/>
      <c r="N35" s="13"/>
      <c r="O35" s="13"/>
      <c r="P35" s="14"/>
      <c r="Q35" s="15">
        <f t="shared" si="0"/>
        <v>3</v>
      </c>
    </row>
    <row r="36" spans="1:17" x14ac:dyDescent="0.25">
      <c r="A36" s="12">
        <v>31</v>
      </c>
      <c r="B36" s="16" t="s">
        <v>473</v>
      </c>
      <c r="C36" s="12" t="s">
        <v>82</v>
      </c>
      <c r="D36" s="13"/>
      <c r="E36" s="13"/>
      <c r="F36" s="13"/>
      <c r="G36" s="13"/>
      <c r="H36" s="14"/>
      <c r="I36" s="13">
        <f>2.6+2.5+2.6+3.4+3.3+3.5</f>
        <v>17.899999999999999</v>
      </c>
      <c r="J36" s="13">
        <f>2.7+2.6+2.6+4.1+3.8+3.9</f>
        <v>19.7</v>
      </c>
      <c r="K36" s="13">
        <f t="shared" si="3"/>
        <v>37.599999999999994</v>
      </c>
      <c r="L36" s="14">
        <v>3</v>
      </c>
      <c r="M36" s="13"/>
      <c r="N36" s="13"/>
      <c r="O36" s="13"/>
      <c r="P36" s="14"/>
      <c r="Q36" s="15">
        <f t="shared" si="0"/>
        <v>3</v>
      </c>
    </row>
    <row r="37" spans="1:17" x14ac:dyDescent="0.25">
      <c r="A37" s="12">
        <v>32</v>
      </c>
      <c r="B37" s="16" t="s">
        <v>491</v>
      </c>
      <c r="C37" s="12" t="s">
        <v>493</v>
      </c>
      <c r="D37" s="13"/>
      <c r="E37" s="13"/>
      <c r="F37" s="13"/>
      <c r="G37" s="13"/>
      <c r="H37" s="14"/>
      <c r="I37" s="13">
        <f>2.6+2.6+2.5+3.4+3.4+3.6</f>
        <v>18.100000000000001</v>
      </c>
      <c r="J37" s="13">
        <f>2.3+2.5+2.4+3.9+4.3+3.9</f>
        <v>19.299999999999997</v>
      </c>
      <c r="K37" s="13">
        <f t="shared" si="3"/>
        <v>37.4</v>
      </c>
      <c r="L37" s="14">
        <v>3</v>
      </c>
      <c r="M37" s="13"/>
      <c r="N37" s="13"/>
      <c r="O37" s="13"/>
      <c r="P37" s="14"/>
      <c r="Q37" s="15">
        <f t="shared" si="0"/>
        <v>3</v>
      </c>
    </row>
    <row r="38" spans="1:17" x14ac:dyDescent="0.25">
      <c r="A38" s="12">
        <v>33</v>
      </c>
      <c r="B38" s="16" t="s">
        <v>474</v>
      </c>
      <c r="C38" s="12" t="s">
        <v>444</v>
      </c>
      <c r="D38" s="13"/>
      <c r="E38" s="13"/>
      <c r="F38" s="13"/>
      <c r="G38" s="13"/>
      <c r="H38" s="14"/>
      <c r="I38" s="13">
        <f>2.5+2.5+2.5+3.4+3.4+3.4</f>
        <v>17.7</v>
      </c>
      <c r="J38" s="13">
        <f>2.3+2.3+2.4+3.9+3.5+4.1</f>
        <v>18.5</v>
      </c>
      <c r="K38" s="13">
        <f t="shared" si="3"/>
        <v>36.200000000000003</v>
      </c>
      <c r="L38" s="14">
        <v>3</v>
      </c>
      <c r="M38" s="13"/>
      <c r="N38" s="13"/>
      <c r="O38" s="13"/>
      <c r="P38" s="14"/>
      <c r="Q38" s="15">
        <f t="shared" si="0"/>
        <v>3</v>
      </c>
    </row>
    <row r="39" spans="1:17" x14ac:dyDescent="0.25">
      <c r="A39" s="12">
        <v>34</v>
      </c>
      <c r="B39" s="16" t="s">
        <v>475</v>
      </c>
      <c r="C39" s="12" t="s">
        <v>444</v>
      </c>
      <c r="D39" s="13"/>
      <c r="E39" s="13"/>
      <c r="F39" s="13"/>
      <c r="G39" s="13"/>
      <c r="H39" s="14"/>
      <c r="I39" s="13">
        <f>2.5+2.5+2.5+3.4+3.4+3.4</f>
        <v>17.7</v>
      </c>
      <c r="J39" s="13">
        <f>2.4+2.3+2.4+3.8+3.7+3.8</f>
        <v>18.399999999999999</v>
      </c>
      <c r="K39" s="13">
        <f t="shared" si="3"/>
        <v>36.099999999999994</v>
      </c>
      <c r="L39" s="14">
        <v>3</v>
      </c>
      <c r="M39" s="13"/>
      <c r="N39" s="13"/>
      <c r="O39" s="13"/>
      <c r="P39" s="14"/>
      <c r="Q39" s="15">
        <f t="shared" si="0"/>
        <v>3</v>
      </c>
    </row>
    <row r="40" spans="1:17" x14ac:dyDescent="0.25">
      <c r="A40" s="12">
        <v>35</v>
      </c>
      <c r="B40" s="12" t="s">
        <v>201</v>
      </c>
      <c r="C40" s="12" t="s">
        <v>26</v>
      </c>
      <c r="D40" s="13">
        <v>18.2</v>
      </c>
      <c r="E40" s="13">
        <v>18</v>
      </c>
      <c r="F40" s="13">
        <v>16.7</v>
      </c>
      <c r="G40" s="13">
        <f t="shared" ref="G40:G46" si="4">SUM(D40:F40)</f>
        <v>52.900000000000006</v>
      </c>
      <c r="H40" s="14">
        <v>3</v>
      </c>
      <c r="I40" s="13"/>
      <c r="J40" s="13"/>
      <c r="K40" s="13"/>
      <c r="L40" s="14"/>
      <c r="M40" s="13"/>
      <c r="N40" s="13"/>
      <c r="O40" s="13"/>
      <c r="P40" s="14"/>
      <c r="Q40" s="15">
        <f t="shared" si="0"/>
        <v>3</v>
      </c>
    </row>
    <row r="41" spans="1:17" x14ac:dyDescent="0.25">
      <c r="A41" s="12">
        <v>36</v>
      </c>
      <c r="B41" s="12" t="s">
        <v>203</v>
      </c>
      <c r="C41" s="12" t="s">
        <v>9</v>
      </c>
      <c r="D41" s="13">
        <v>18.399999999999999</v>
      </c>
      <c r="E41" s="13">
        <v>17.100000000000001</v>
      </c>
      <c r="F41" s="13">
        <v>16.7</v>
      </c>
      <c r="G41" s="13">
        <f t="shared" si="4"/>
        <v>52.2</v>
      </c>
      <c r="H41" s="14">
        <v>3</v>
      </c>
      <c r="I41" s="13"/>
      <c r="J41" s="13"/>
      <c r="K41" s="13"/>
      <c r="L41" s="14"/>
      <c r="M41" s="13"/>
      <c r="N41" s="13"/>
      <c r="O41" s="13"/>
      <c r="P41" s="14"/>
      <c r="Q41" s="15">
        <f t="shared" si="0"/>
        <v>3</v>
      </c>
    </row>
    <row r="42" spans="1:17" x14ac:dyDescent="0.25">
      <c r="A42" s="12">
        <v>37</v>
      </c>
      <c r="B42" s="12" t="s">
        <v>216</v>
      </c>
      <c r="C42" s="12" t="s">
        <v>15</v>
      </c>
      <c r="D42" s="13">
        <v>17.100000000000001</v>
      </c>
      <c r="E42" s="13">
        <v>16.8</v>
      </c>
      <c r="F42" s="13">
        <v>18.2</v>
      </c>
      <c r="G42" s="13">
        <f t="shared" si="4"/>
        <v>52.100000000000009</v>
      </c>
      <c r="H42" s="14">
        <v>3</v>
      </c>
      <c r="I42" s="13"/>
      <c r="J42" s="13"/>
      <c r="K42" s="13"/>
      <c r="L42" s="14"/>
      <c r="M42" s="13"/>
      <c r="N42" s="13"/>
      <c r="O42" s="13"/>
      <c r="P42" s="14"/>
      <c r="Q42" s="15">
        <f t="shared" si="0"/>
        <v>3</v>
      </c>
    </row>
    <row r="43" spans="1:17" x14ac:dyDescent="0.25">
      <c r="A43" s="12">
        <v>38</v>
      </c>
      <c r="B43" s="12" t="s">
        <v>218</v>
      </c>
      <c r="C43" s="12" t="s">
        <v>29</v>
      </c>
      <c r="D43" s="13">
        <v>17.2</v>
      </c>
      <c r="E43" s="13">
        <v>17.3</v>
      </c>
      <c r="F43" s="13">
        <v>17</v>
      </c>
      <c r="G43" s="13">
        <f t="shared" si="4"/>
        <v>51.5</v>
      </c>
      <c r="H43" s="14">
        <v>3</v>
      </c>
      <c r="I43" s="13"/>
      <c r="J43" s="13"/>
      <c r="K43" s="13"/>
      <c r="L43" s="14"/>
      <c r="M43" s="13"/>
      <c r="N43" s="13"/>
      <c r="O43" s="13"/>
      <c r="P43" s="14"/>
      <c r="Q43" s="15">
        <f t="shared" si="0"/>
        <v>3</v>
      </c>
    </row>
    <row r="44" spans="1:17" x14ac:dyDescent="0.25">
      <c r="A44" s="12">
        <v>39</v>
      </c>
      <c r="B44" s="12" t="s">
        <v>214</v>
      </c>
      <c r="C44" s="12" t="s">
        <v>7</v>
      </c>
      <c r="D44" s="13">
        <v>16.2</v>
      </c>
      <c r="E44" s="13">
        <v>15.7</v>
      </c>
      <c r="F44" s="13">
        <v>14.7</v>
      </c>
      <c r="G44" s="13">
        <f t="shared" si="4"/>
        <v>46.599999999999994</v>
      </c>
      <c r="H44" s="14">
        <v>3</v>
      </c>
      <c r="I44" s="13"/>
      <c r="J44" s="13"/>
      <c r="K44" s="13"/>
      <c r="L44" s="14"/>
      <c r="M44" s="13"/>
      <c r="N44" s="13"/>
      <c r="O44" s="13"/>
      <c r="P44" s="14"/>
      <c r="Q44" s="15">
        <f t="shared" si="0"/>
        <v>3</v>
      </c>
    </row>
    <row r="45" spans="1:17" x14ac:dyDescent="0.25">
      <c r="A45" s="12">
        <v>40</v>
      </c>
      <c r="B45" s="12" t="s">
        <v>210</v>
      </c>
      <c r="C45" s="12" t="s">
        <v>15</v>
      </c>
      <c r="D45" s="13">
        <v>15.5</v>
      </c>
      <c r="E45" s="13">
        <v>15.1</v>
      </c>
      <c r="F45" s="13">
        <v>15.3</v>
      </c>
      <c r="G45" s="13">
        <f t="shared" si="4"/>
        <v>45.900000000000006</v>
      </c>
      <c r="H45" s="14">
        <v>3</v>
      </c>
      <c r="I45" s="13"/>
      <c r="J45" s="13"/>
      <c r="K45" s="13"/>
      <c r="L45" s="14"/>
      <c r="M45" s="13"/>
      <c r="N45" s="13"/>
      <c r="O45" s="13"/>
      <c r="P45" s="14"/>
      <c r="Q45" s="15">
        <f t="shared" si="0"/>
        <v>3</v>
      </c>
    </row>
    <row r="46" spans="1:17" x14ac:dyDescent="0.25">
      <c r="A46" s="12">
        <v>41</v>
      </c>
      <c r="B46" s="12" t="s">
        <v>213</v>
      </c>
      <c r="C46" s="12" t="s">
        <v>7</v>
      </c>
      <c r="D46" s="13">
        <v>15.3</v>
      </c>
      <c r="E46" s="13">
        <v>14.8</v>
      </c>
      <c r="F46" s="13">
        <v>14</v>
      </c>
      <c r="G46" s="13">
        <f t="shared" si="4"/>
        <v>44.1</v>
      </c>
      <c r="H46" s="14">
        <v>3</v>
      </c>
      <c r="I46" s="13"/>
      <c r="J46" s="13"/>
      <c r="K46" s="13"/>
      <c r="L46" s="14"/>
      <c r="M46" s="13"/>
      <c r="N46" s="13"/>
      <c r="O46" s="13"/>
      <c r="P46" s="14"/>
      <c r="Q46" s="15">
        <f t="shared" si="0"/>
        <v>3</v>
      </c>
    </row>
    <row r="47" spans="1:17" x14ac:dyDescent="0.25">
      <c r="A47" s="12">
        <v>42</v>
      </c>
      <c r="B47" s="16" t="s">
        <v>484</v>
      </c>
      <c r="C47" s="12" t="s">
        <v>9</v>
      </c>
      <c r="D47" s="13"/>
      <c r="E47" s="13"/>
      <c r="F47" s="13"/>
      <c r="G47" s="13"/>
      <c r="H47" s="14"/>
      <c r="I47" s="13"/>
      <c r="J47" s="13"/>
      <c r="K47" s="13"/>
      <c r="L47" s="14"/>
      <c r="M47" s="13"/>
      <c r="N47" s="13"/>
      <c r="O47" s="13"/>
      <c r="P47" s="14"/>
      <c r="Q47" s="15"/>
    </row>
    <row r="48" spans="1:17" x14ac:dyDescent="0.25">
      <c r="A48" s="12">
        <v>43</v>
      </c>
      <c r="B48" s="16" t="s">
        <v>487</v>
      </c>
      <c r="C48" s="12" t="s">
        <v>82</v>
      </c>
      <c r="D48" s="13"/>
      <c r="E48" s="13"/>
      <c r="F48" s="13"/>
      <c r="G48" s="13"/>
      <c r="H48" s="14"/>
      <c r="I48" s="13"/>
      <c r="J48" s="13"/>
      <c r="K48" s="13"/>
      <c r="L48" s="14"/>
      <c r="M48" s="13"/>
      <c r="N48" s="13"/>
      <c r="O48" s="13"/>
      <c r="P48" s="14"/>
      <c r="Q48" s="15"/>
    </row>
    <row r="49" spans="1:17" ht="30" x14ac:dyDescent="0.25">
      <c r="A49" s="12">
        <v>44</v>
      </c>
      <c r="B49" s="16" t="s">
        <v>492</v>
      </c>
      <c r="C49" s="12" t="s">
        <v>426</v>
      </c>
      <c r="D49" s="13"/>
      <c r="E49" s="13"/>
      <c r="F49" s="13"/>
      <c r="G49" s="13"/>
      <c r="H49" s="14"/>
      <c r="I49" s="13"/>
      <c r="J49" s="13"/>
      <c r="K49" s="13"/>
      <c r="L49" s="14"/>
      <c r="M49" s="13"/>
      <c r="N49" s="13"/>
      <c r="O49" s="13"/>
      <c r="P49" s="14"/>
      <c r="Q49" s="15"/>
    </row>
    <row r="50" spans="1:17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</sheetData>
  <sortState ref="B4:Q47">
    <sortCondition descending="1" ref="Q4:Q47"/>
  </sortState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18.85546875" style="4" bestFit="1" customWidth="1"/>
    <col min="4" max="4" width="6.42578125" style="4" customWidth="1"/>
    <col min="5" max="5" width="6.140625" style="4" customWidth="1"/>
    <col min="6" max="6" width="6" style="4" customWidth="1"/>
    <col min="7" max="7" width="11.85546875" style="4" bestFit="1" customWidth="1"/>
    <col min="8" max="8" width="19.7109375" style="4" customWidth="1"/>
    <col min="9" max="9" width="6.42578125" style="4" customWidth="1"/>
    <col min="10" max="10" width="6.140625" style="4" customWidth="1"/>
    <col min="11" max="11" width="12.5703125" style="4" customWidth="1"/>
    <col min="12" max="12" width="17.42578125" style="4" customWidth="1"/>
    <col min="13" max="13" width="7.5703125" style="4" customWidth="1"/>
    <col min="14" max="14" width="7.7109375" style="4" customWidth="1"/>
    <col min="15" max="15" width="11.42578125" style="4"/>
    <col min="16" max="16" width="18.28515625" style="4" customWidth="1"/>
    <col min="17" max="17" width="24.1406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248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240</v>
      </c>
      <c r="C6" s="12" t="s">
        <v>9</v>
      </c>
      <c r="D6" s="13">
        <v>20.6</v>
      </c>
      <c r="E6" s="13">
        <v>19.3</v>
      </c>
      <c r="F6" s="13">
        <v>18.600000000000001</v>
      </c>
      <c r="G6" s="13">
        <f>SUM(D6:F6)</f>
        <v>58.500000000000007</v>
      </c>
      <c r="H6" s="14">
        <v>23</v>
      </c>
      <c r="I6" s="13">
        <f>3.2+3.1+3.1+4.4+4.1+4.1</f>
        <v>22</v>
      </c>
      <c r="J6" s="13">
        <f>2.5+2.3+2.3+3.6+3.4+3.3</f>
        <v>17.399999999999999</v>
      </c>
      <c r="K6" s="13">
        <f>SUM(I6:J6)</f>
        <v>39.4</v>
      </c>
      <c r="L6" s="14">
        <v>3</v>
      </c>
      <c r="M6" s="13">
        <f>2.7+2.7+2.8+3.7+3.8+3.8</f>
        <v>19.5</v>
      </c>
      <c r="N6" s="13">
        <f>2.9+2.9+2.9+4.1+4+4</f>
        <v>20.799999999999997</v>
      </c>
      <c r="O6" s="13">
        <f>M6+N6</f>
        <v>40.299999999999997</v>
      </c>
      <c r="P6" s="14">
        <v>23</v>
      </c>
      <c r="Q6" s="15">
        <f t="shared" ref="Q6:Q40" si="0">H6+L6+P6</f>
        <v>49</v>
      </c>
    </row>
    <row r="7" spans="1:17" x14ac:dyDescent="0.25">
      <c r="A7" s="12">
        <v>2</v>
      </c>
      <c r="B7" s="12" t="s">
        <v>239</v>
      </c>
      <c r="C7" s="12" t="s">
        <v>9</v>
      </c>
      <c r="D7" s="13">
        <v>20.6</v>
      </c>
      <c r="E7" s="13">
        <v>18.600000000000001</v>
      </c>
      <c r="F7" s="13">
        <v>18.3</v>
      </c>
      <c r="G7" s="13">
        <f>SUM(D7:F7)</f>
        <v>57.5</v>
      </c>
      <c r="H7" s="14">
        <v>13</v>
      </c>
      <c r="I7" s="13">
        <f>3.4+3.2+3.1+4.3+4.2+4.2</f>
        <v>22.4</v>
      </c>
      <c r="J7" s="13">
        <f>2.5+2.4+2.5+3.6+3.4+3.5</f>
        <v>17.899999999999999</v>
      </c>
      <c r="K7" s="13">
        <f>SUM(I7:J7)</f>
        <v>40.299999999999997</v>
      </c>
      <c r="L7" s="14">
        <v>13</v>
      </c>
      <c r="M7" s="13">
        <f>2.8+2.7+2.8+3.7+3.7+3.7</f>
        <v>19.399999999999999</v>
      </c>
      <c r="N7" s="13">
        <f>2.8+2.9+2.9+3.9+4+4</f>
        <v>20.5</v>
      </c>
      <c r="O7" s="13">
        <f>M7+N7</f>
        <v>39.9</v>
      </c>
      <c r="P7" s="14">
        <v>18</v>
      </c>
      <c r="Q7" s="15">
        <f t="shared" si="0"/>
        <v>44</v>
      </c>
    </row>
    <row r="8" spans="1:17" x14ac:dyDescent="0.25">
      <c r="A8" s="12">
        <v>3</v>
      </c>
      <c r="B8" s="16" t="s">
        <v>515</v>
      </c>
      <c r="C8" s="12" t="s">
        <v>397</v>
      </c>
      <c r="D8" s="13"/>
      <c r="E8" s="13"/>
      <c r="F8" s="13"/>
      <c r="G8" s="13"/>
      <c r="H8" s="14"/>
      <c r="I8" s="13">
        <f>3.2+3.1+3.2+4.4+4+4.2</f>
        <v>22.099999999999998</v>
      </c>
      <c r="J8" s="13">
        <f>2.7+2.6+2.6+3.6+3.6+3.6</f>
        <v>18.7</v>
      </c>
      <c r="K8" s="13">
        <f>SUM(I8:J8)</f>
        <v>40.799999999999997</v>
      </c>
      <c r="L8" s="14">
        <v>23</v>
      </c>
      <c r="M8" s="13">
        <f>2.8+2.8+2.8+3.8+3.8+3.8</f>
        <v>19.8</v>
      </c>
      <c r="N8" s="13">
        <f>2.7+2.8+2.8+3.9+3.9+3.6</f>
        <v>19.700000000000003</v>
      </c>
      <c r="O8" s="13">
        <f>M8+N8</f>
        <v>39.5</v>
      </c>
      <c r="P8" s="14">
        <v>13</v>
      </c>
      <c r="Q8" s="15">
        <f t="shared" si="0"/>
        <v>36</v>
      </c>
    </row>
    <row r="9" spans="1:17" x14ac:dyDescent="0.25">
      <c r="A9" s="12">
        <v>4</v>
      </c>
      <c r="B9" s="16" t="s">
        <v>513</v>
      </c>
      <c r="C9" s="12" t="s">
        <v>82</v>
      </c>
      <c r="D9" s="13"/>
      <c r="E9" s="13"/>
      <c r="F9" s="13"/>
      <c r="G9" s="13"/>
      <c r="H9" s="14"/>
      <c r="I9" s="13">
        <f>3.2+3+3.1+4+4.1+4.1</f>
        <v>21.5</v>
      </c>
      <c r="J9" s="13">
        <f>2.6+2.7+2.7+3.6+3.8+3.6</f>
        <v>19</v>
      </c>
      <c r="K9" s="13">
        <f>SUM(I9:J9)</f>
        <v>40.5</v>
      </c>
      <c r="L9" s="14">
        <v>18</v>
      </c>
      <c r="M9" s="13">
        <f>2.6+2.6+2.6+3.6+3.6+3.7</f>
        <v>18.7</v>
      </c>
      <c r="N9" s="13">
        <f>2.9+2.8+2.7+4+4.1+3.6</f>
        <v>20.100000000000001</v>
      </c>
      <c r="O9" s="13">
        <f>M9+N9</f>
        <v>38.799999999999997</v>
      </c>
      <c r="P9" s="14">
        <v>13</v>
      </c>
      <c r="Q9" s="15">
        <f t="shared" si="0"/>
        <v>31</v>
      </c>
    </row>
    <row r="10" spans="1:17" x14ac:dyDescent="0.25">
      <c r="A10" s="12">
        <v>5</v>
      </c>
      <c r="B10" s="12" t="s">
        <v>245</v>
      </c>
      <c r="C10" s="12" t="s">
        <v>5</v>
      </c>
      <c r="D10" s="13">
        <v>18.5</v>
      </c>
      <c r="E10" s="13">
        <v>17.5</v>
      </c>
      <c r="F10" s="13">
        <v>17.7</v>
      </c>
      <c r="G10" s="13">
        <f>SUM(D10:F10)</f>
        <v>53.7</v>
      </c>
      <c r="H10" s="14">
        <v>13</v>
      </c>
      <c r="I10" s="13">
        <f>3+3.1+3+3.9+4+3.8</f>
        <v>20.8</v>
      </c>
      <c r="J10" s="13">
        <f>2.5+2.5+2.6+3.6+3.6+3.6</f>
        <v>18.399999999999999</v>
      </c>
      <c r="K10" s="13">
        <f>SUM(I10:J10)</f>
        <v>39.200000000000003</v>
      </c>
      <c r="L10" s="14">
        <v>3</v>
      </c>
      <c r="M10" s="13">
        <f>2.5+2.5+2.5+3.6+3.6+3.6</f>
        <v>18.3</v>
      </c>
      <c r="N10" s="13">
        <f>2.4+2.7+2.7+3.4+3.6+3.6</f>
        <v>18.399999999999999</v>
      </c>
      <c r="O10" s="13">
        <f>M10+N10</f>
        <v>36.700000000000003</v>
      </c>
      <c r="P10" s="14">
        <v>3</v>
      </c>
      <c r="Q10" s="15">
        <f t="shared" si="0"/>
        <v>19</v>
      </c>
    </row>
    <row r="11" spans="1:17" x14ac:dyDescent="0.25">
      <c r="A11" s="12">
        <v>6</v>
      </c>
      <c r="B11" s="12" t="s">
        <v>247</v>
      </c>
      <c r="C11" s="12" t="s">
        <v>5</v>
      </c>
      <c r="D11" s="13">
        <v>20.8</v>
      </c>
      <c r="E11" s="13">
        <v>19.8</v>
      </c>
      <c r="F11" s="13">
        <v>17.899999999999999</v>
      </c>
      <c r="G11" s="13">
        <f>SUM(D11:F11)</f>
        <v>58.5</v>
      </c>
      <c r="H11" s="14">
        <v>18</v>
      </c>
      <c r="I11" s="13"/>
      <c r="J11" s="13"/>
      <c r="K11" s="13"/>
      <c r="L11" s="14"/>
      <c r="M11" s="13"/>
      <c r="N11" s="13"/>
      <c r="O11" s="13"/>
      <c r="P11" s="14"/>
      <c r="Q11" s="15">
        <f t="shared" si="0"/>
        <v>18</v>
      </c>
    </row>
    <row r="12" spans="1:17" x14ac:dyDescent="0.25">
      <c r="A12" s="12">
        <v>7</v>
      </c>
      <c r="B12" s="16" t="s">
        <v>521</v>
      </c>
      <c r="C12" s="12" t="s">
        <v>311</v>
      </c>
      <c r="D12" s="13"/>
      <c r="E12" s="13"/>
      <c r="F12" s="13"/>
      <c r="G12" s="13"/>
      <c r="H12" s="14"/>
      <c r="I12" s="13">
        <f>3+3.1+3+4.1+3.8+4.1</f>
        <v>21.1</v>
      </c>
      <c r="J12" s="13">
        <f>2.7+2.7+2.7+3.8+3.8+3.7</f>
        <v>19.400000000000002</v>
      </c>
      <c r="K12" s="13">
        <f t="shared" ref="K12:K28" si="1">SUM(I12:J12)</f>
        <v>40.5</v>
      </c>
      <c r="L12" s="14">
        <v>13</v>
      </c>
      <c r="M12" s="13"/>
      <c r="N12" s="13"/>
      <c r="O12" s="13"/>
      <c r="P12" s="14"/>
      <c r="Q12" s="15">
        <f t="shared" si="0"/>
        <v>13</v>
      </c>
    </row>
    <row r="13" spans="1:17" x14ac:dyDescent="0.25">
      <c r="A13" s="12">
        <v>8</v>
      </c>
      <c r="B13" s="12" t="s">
        <v>246</v>
      </c>
      <c r="C13" s="12" t="s">
        <v>5</v>
      </c>
      <c r="D13" s="13">
        <v>17.5</v>
      </c>
      <c r="E13" s="13">
        <v>18.5</v>
      </c>
      <c r="F13" s="13">
        <v>17.2</v>
      </c>
      <c r="G13" s="13">
        <f>SUM(D13:F13)</f>
        <v>53.2</v>
      </c>
      <c r="H13" s="14">
        <v>3</v>
      </c>
      <c r="I13" s="13">
        <f>3.1+3+3.1+4+3.9+3.9</f>
        <v>20.999999999999996</v>
      </c>
      <c r="J13" s="13">
        <f>2.6+2.7+2.6+3.7+3.7+3.7</f>
        <v>19</v>
      </c>
      <c r="K13" s="13">
        <f t="shared" si="1"/>
        <v>40</v>
      </c>
      <c r="L13" s="14">
        <v>3</v>
      </c>
      <c r="M13" s="13">
        <f>2.6+2.6+2.7+3.7+3.7+3.7</f>
        <v>19</v>
      </c>
      <c r="N13" s="13">
        <f>2.7+2.8+2.8+3.8+3.9+3.8</f>
        <v>19.8</v>
      </c>
      <c r="O13" s="13">
        <f t="shared" ref="O13:O29" si="2">M13+N13</f>
        <v>38.799999999999997</v>
      </c>
      <c r="P13" s="14">
        <v>3</v>
      </c>
      <c r="Q13" s="15">
        <f t="shared" si="0"/>
        <v>9</v>
      </c>
    </row>
    <row r="14" spans="1:17" x14ac:dyDescent="0.25">
      <c r="A14" s="12">
        <v>9</v>
      </c>
      <c r="B14" s="12" t="s">
        <v>241</v>
      </c>
      <c r="C14" s="12" t="s">
        <v>26</v>
      </c>
      <c r="D14" s="13">
        <v>18.100000000000001</v>
      </c>
      <c r="E14" s="13">
        <v>16.8</v>
      </c>
      <c r="F14" s="13">
        <v>15.7</v>
      </c>
      <c r="G14" s="13">
        <f>SUM(D14:F14)</f>
        <v>50.600000000000009</v>
      </c>
      <c r="H14" s="14">
        <v>3</v>
      </c>
      <c r="I14" s="13">
        <f>2.8+2.8+2.8+3.7+3.7+3.7</f>
        <v>19.499999999999996</v>
      </c>
      <c r="J14" s="13">
        <f>2.5+2.6+2.3+3.6+3.6</f>
        <v>14.6</v>
      </c>
      <c r="K14" s="13">
        <f t="shared" si="1"/>
        <v>34.099999999999994</v>
      </c>
      <c r="L14" s="14">
        <v>3</v>
      </c>
      <c r="M14" s="13">
        <f>2.7+2.7+2.7+3.7+3.8+3.8</f>
        <v>19.400000000000002</v>
      </c>
      <c r="N14" s="13">
        <f>2.6+2.5+2.6+3.7+3.5+3.5</f>
        <v>18.399999999999999</v>
      </c>
      <c r="O14" s="13">
        <f t="shared" si="2"/>
        <v>37.799999999999997</v>
      </c>
      <c r="P14" s="14">
        <v>3</v>
      </c>
      <c r="Q14" s="15">
        <f t="shared" si="0"/>
        <v>9</v>
      </c>
    </row>
    <row r="15" spans="1:17" x14ac:dyDescent="0.25">
      <c r="A15" s="12">
        <v>10</v>
      </c>
      <c r="B15" s="12" t="s">
        <v>236</v>
      </c>
      <c r="C15" s="12" t="s">
        <v>15</v>
      </c>
      <c r="D15" s="13">
        <v>18</v>
      </c>
      <c r="E15" s="13">
        <v>16.600000000000001</v>
      </c>
      <c r="F15" s="13">
        <v>14.7</v>
      </c>
      <c r="G15" s="13">
        <f>SUM(D15:F15)</f>
        <v>49.3</v>
      </c>
      <c r="H15" s="14">
        <v>3</v>
      </c>
      <c r="I15" s="13">
        <f>2.7+2.8+2.8+3.7+3.7+3.7</f>
        <v>19.399999999999999</v>
      </c>
      <c r="J15" s="13">
        <f>2.4+2.2+2.2+3.5+3.3+3.2</f>
        <v>16.8</v>
      </c>
      <c r="K15" s="13">
        <f t="shared" si="1"/>
        <v>36.200000000000003</v>
      </c>
      <c r="L15" s="14">
        <v>3</v>
      </c>
      <c r="M15" s="13">
        <f>2.6+2.6+2.6+3.6+3.5+3.6</f>
        <v>18.5</v>
      </c>
      <c r="N15" s="13">
        <f>2.6+2.4+2.5+3.7+3.5+3.5</f>
        <v>18.2</v>
      </c>
      <c r="O15" s="13">
        <f t="shared" si="2"/>
        <v>36.700000000000003</v>
      </c>
      <c r="P15" s="14">
        <v>3</v>
      </c>
      <c r="Q15" s="15">
        <f t="shared" si="0"/>
        <v>9</v>
      </c>
    </row>
    <row r="16" spans="1:17" x14ac:dyDescent="0.25">
      <c r="A16" s="12">
        <v>11</v>
      </c>
      <c r="B16" s="12" t="s">
        <v>237</v>
      </c>
      <c r="C16" s="12" t="s">
        <v>15</v>
      </c>
      <c r="D16" s="13">
        <v>17.2</v>
      </c>
      <c r="E16" s="13">
        <v>15.9</v>
      </c>
      <c r="F16" s="13">
        <v>15</v>
      </c>
      <c r="G16" s="13">
        <f>SUM(D16:F16)</f>
        <v>48.1</v>
      </c>
      <c r="H16" s="14">
        <v>3</v>
      </c>
      <c r="I16" s="13">
        <f>2.6+2.7+2.7+3.6+3.7+3.8</f>
        <v>19.100000000000001</v>
      </c>
      <c r="J16" s="13">
        <f>2.3+2.2+2.3+3.3+3.2+3.3</f>
        <v>16.600000000000001</v>
      </c>
      <c r="K16" s="13">
        <f t="shared" si="1"/>
        <v>35.700000000000003</v>
      </c>
      <c r="L16" s="14">
        <v>3</v>
      </c>
      <c r="M16" s="13">
        <f>2.5+2.5+2.5+3.5+3.5+3.5</f>
        <v>18</v>
      </c>
      <c r="N16" s="13">
        <f>2.3+2.3+2.4+3.4+3.5+3.4</f>
        <v>17.3</v>
      </c>
      <c r="O16" s="13">
        <f t="shared" si="2"/>
        <v>35.299999999999997</v>
      </c>
      <c r="P16" s="14">
        <v>3</v>
      </c>
      <c r="Q16" s="15">
        <f t="shared" si="0"/>
        <v>9</v>
      </c>
    </row>
    <row r="17" spans="1:17" x14ac:dyDescent="0.25">
      <c r="A17" s="12">
        <v>12</v>
      </c>
      <c r="B17" s="12" t="s">
        <v>244</v>
      </c>
      <c r="C17" s="12" t="s">
        <v>29</v>
      </c>
      <c r="D17" s="13">
        <v>17.399999999999999</v>
      </c>
      <c r="E17" s="13">
        <v>16.7</v>
      </c>
      <c r="F17" s="13">
        <v>15.1</v>
      </c>
      <c r="G17" s="13">
        <f>SUM(D17:F17)</f>
        <v>49.199999999999996</v>
      </c>
      <c r="H17" s="14">
        <v>3</v>
      </c>
      <c r="I17" s="13">
        <f>2.9+3+2.9+4+3.8+3.8</f>
        <v>20.400000000000002</v>
      </c>
      <c r="J17" s="13">
        <f>2.5+2.6+2.6+3.6+3.6+3.6</f>
        <v>18.5</v>
      </c>
      <c r="K17" s="13">
        <f t="shared" si="1"/>
        <v>38.900000000000006</v>
      </c>
      <c r="L17" s="14">
        <v>3</v>
      </c>
      <c r="M17" s="13">
        <f>2.3+2.3+2.4+3.3+3.3+3.4</f>
        <v>17</v>
      </c>
      <c r="N17" s="13">
        <f>2.4+2.4+2.5+3.7+3.4+3.4</f>
        <v>17.8</v>
      </c>
      <c r="O17" s="13">
        <f t="shared" si="2"/>
        <v>34.799999999999997</v>
      </c>
      <c r="P17" s="14">
        <v>3</v>
      </c>
      <c r="Q17" s="15">
        <f t="shared" si="0"/>
        <v>9</v>
      </c>
    </row>
    <row r="18" spans="1:17" x14ac:dyDescent="0.25">
      <c r="A18" s="12">
        <v>13</v>
      </c>
      <c r="B18" s="16" t="s">
        <v>512</v>
      </c>
      <c r="C18" s="12" t="s">
        <v>82</v>
      </c>
      <c r="D18" s="13"/>
      <c r="E18" s="13"/>
      <c r="F18" s="13"/>
      <c r="G18" s="13"/>
      <c r="H18" s="14"/>
      <c r="I18" s="13">
        <f>3.1+2.7+3+4.2+3.8+4.2</f>
        <v>21</v>
      </c>
      <c r="J18" s="13">
        <f>2.7+2.6+2.7+3.7+3.7+3.8</f>
        <v>19.2</v>
      </c>
      <c r="K18" s="13">
        <f t="shared" si="1"/>
        <v>40.200000000000003</v>
      </c>
      <c r="L18" s="14">
        <v>3</v>
      </c>
      <c r="M18" s="13">
        <f>2.6+2.6+2.6+3.7+3.7+3.7</f>
        <v>18.899999999999999</v>
      </c>
      <c r="N18" s="13">
        <f>2.8+2.8+2.7+3.9+4+3.5</f>
        <v>19.700000000000003</v>
      </c>
      <c r="O18" s="13">
        <f t="shared" si="2"/>
        <v>38.6</v>
      </c>
      <c r="P18" s="14">
        <v>3</v>
      </c>
      <c r="Q18" s="15">
        <f t="shared" si="0"/>
        <v>6</v>
      </c>
    </row>
    <row r="19" spans="1:17" x14ac:dyDescent="0.25">
      <c r="A19" s="12">
        <v>14</v>
      </c>
      <c r="B19" s="16" t="s">
        <v>517</v>
      </c>
      <c r="C19" s="12" t="s">
        <v>397</v>
      </c>
      <c r="D19" s="13"/>
      <c r="E19" s="13"/>
      <c r="F19" s="13"/>
      <c r="G19" s="13"/>
      <c r="H19" s="14"/>
      <c r="I19" s="13">
        <f>3+3+3+4+4.1+4.2</f>
        <v>21.3</v>
      </c>
      <c r="J19" s="13">
        <f>2.4+2.5+2.5+3.4+3.6+3.6</f>
        <v>18</v>
      </c>
      <c r="K19" s="13">
        <f t="shared" si="1"/>
        <v>39.299999999999997</v>
      </c>
      <c r="L19" s="14">
        <v>3</v>
      </c>
      <c r="M19" s="13">
        <f>2.7+2.6+2.7+3.8+3.7+3.8</f>
        <v>19.3</v>
      </c>
      <c r="N19" s="13">
        <f>2.7+2.5+2.6+3.7+3.7+3.5</f>
        <v>18.7</v>
      </c>
      <c r="O19" s="13">
        <f t="shared" si="2"/>
        <v>38</v>
      </c>
      <c r="P19" s="14">
        <v>3</v>
      </c>
      <c r="Q19" s="15">
        <f t="shared" si="0"/>
        <v>6</v>
      </c>
    </row>
    <row r="20" spans="1:17" x14ac:dyDescent="0.25">
      <c r="A20" s="12">
        <v>15</v>
      </c>
      <c r="B20" s="16" t="s">
        <v>509</v>
      </c>
      <c r="C20" s="12" t="s">
        <v>26</v>
      </c>
      <c r="D20" s="13"/>
      <c r="E20" s="13"/>
      <c r="F20" s="13"/>
      <c r="G20" s="13"/>
      <c r="H20" s="14"/>
      <c r="I20" s="13">
        <f>2.8+2.7+2.7+3.8+3.8+3.8</f>
        <v>19.600000000000001</v>
      </c>
      <c r="J20" s="13">
        <f>2.7+2.7+2.7+3.6+3.6+3.7</f>
        <v>19</v>
      </c>
      <c r="K20" s="13">
        <f t="shared" si="1"/>
        <v>38.6</v>
      </c>
      <c r="L20" s="14">
        <v>3</v>
      </c>
      <c r="M20" s="13">
        <f>2.6+2.6+2.6+3.6+3.7+3.7</f>
        <v>18.8</v>
      </c>
      <c r="N20" s="13">
        <f>2.7+2.7+2.5+3.8+3.6+3.4</f>
        <v>18.7</v>
      </c>
      <c r="O20" s="13">
        <f t="shared" si="2"/>
        <v>37.5</v>
      </c>
      <c r="P20" s="14">
        <v>3</v>
      </c>
      <c r="Q20" s="15">
        <f t="shared" si="0"/>
        <v>6</v>
      </c>
    </row>
    <row r="21" spans="1:17" x14ac:dyDescent="0.25">
      <c r="A21" s="12">
        <v>16</v>
      </c>
      <c r="B21" s="16" t="s">
        <v>519</v>
      </c>
      <c r="C21" s="12" t="s">
        <v>9</v>
      </c>
      <c r="D21" s="13"/>
      <c r="E21" s="13"/>
      <c r="F21" s="13"/>
      <c r="G21" s="13"/>
      <c r="H21" s="14"/>
      <c r="I21" s="13">
        <f>2.9+3+3+3.8+3.9+3.8</f>
        <v>20.399999999999999</v>
      </c>
      <c r="J21" s="13">
        <f>2.5+2.5+2.6+3.4+3.4+3.6</f>
        <v>18</v>
      </c>
      <c r="K21" s="13">
        <f t="shared" si="1"/>
        <v>38.4</v>
      </c>
      <c r="L21" s="14">
        <v>3</v>
      </c>
      <c r="M21" s="13">
        <f>2.6+2.6+2.6+3.6+3.6+3.6</f>
        <v>18.600000000000001</v>
      </c>
      <c r="N21" s="13">
        <f>2.6+2.6+2.6+3.6+3.6+3.6</f>
        <v>18.600000000000001</v>
      </c>
      <c r="O21" s="13">
        <f t="shared" si="2"/>
        <v>37.200000000000003</v>
      </c>
      <c r="P21" s="14">
        <v>3</v>
      </c>
      <c r="Q21" s="15">
        <f t="shared" si="0"/>
        <v>6</v>
      </c>
    </row>
    <row r="22" spans="1:17" x14ac:dyDescent="0.25">
      <c r="A22" s="12">
        <v>17</v>
      </c>
      <c r="B22" s="16" t="s">
        <v>507</v>
      </c>
      <c r="C22" s="12" t="s">
        <v>82</v>
      </c>
      <c r="D22" s="13"/>
      <c r="E22" s="13"/>
      <c r="F22" s="13"/>
      <c r="G22" s="13"/>
      <c r="H22" s="14"/>
      <c r="I22" s="13">
        <f>3+2.9+2.8+3.9+3.8+3.8</f>
        <v>20.2</v>
      </c>
      <c r="J22" s="13">
        <f>2.5+2.4+2.4+3.5+3.5+3.4</f>
        <v>17.7</v>
      </c>
      <c r="K22" s="13">
        <f t="shared" si="1"/>
        <v>37.9</v>
      </c>
      <c r="L22" s="14">
        <v>3</v>
      </c>
      <c r="M22" s="13">
        <f>2.7+2.5+2.5+3.6+3.6+3.6</f>
        <v>18.5</v>
      </c>
      <c r="N22" s="13">
        <f>2.6+2.5+2.5+3.7+3.6+3.4</f>
        <v>18.3</v>
      </c>
      <c r="O22" s="13">
        <f t="shared" si="2"/>
        <v>36.799999999999997</v>
      </c>
      <c r="P22" s="14">
        <v>3</v>
      </c>
      <c r="Q22" s="15">
        <f t="shared" si="0"/>
        <v>6</v>
      </c>
    </row>
    <row r="23" spans="1:17" x14ac:dyDescent="0.25">
      <c r="A23" s="12">
        <v>18</v>
      </c>
      <c r="B23" s="16" t="s">
        <v>520</v>
      </c>
      <c r="C23" s="12" t="s">
        <v>9</v>
      </c>
      <c r="D23" s="13"/>
      <c r="E23" s="13"/>
      <c r="F23" s="13"/>
      <c r="G23" s="13"/>
      <c r="H23" s="14"/>
      <c r="I23" s="13">
        <f>3+3+3+4+3.9+3.8</f>
        <v>20.7</v>
      </c>
      <c r="J23" s="13">
        <f>2.5+2.3+2.3+3.4+3.4+3.3</f>
        <v>17.2</v>
      </c>
      <c r="K23" s="13">
        <f t="shared" si="1"/>
        <v>37.9</v>
      </c>
      <c r="L23" s="14">
        <v>3</v>
      </c>
      <c r="M23" s="13">
        <f>2.5+2.5+2.6+3.5+3.5+3.5</f>
        <v>18.100000000000001</v>
      </c>
      <c r="N23" s="13">
        <f>2.6+2.6+2.8+3.5+3.5+3.7</f>
        <v>18.7</v>
      </c>
      <c r="O23" s="13">
        <f t="shared" si="2"/>
        <v>36.799999999999997</v>
      </c>
      <c r="P23" s="14">
        <v>3</v>
      </c>
      <c r="Q23" s="15">
        <f t="shared" si="0"/>
        <v>6</v>
      </c>
    </row>
    <row r="24" spans="1:17" x14ac:dyDescent="0.25">
      <c r="A24" s="12">
        <v>19</v>
      </c>
      <c r="B24" s="16" t="s">
        <v>522</v>
      </c>
      <c r="C24" s="12" t="s">
        <v>431</v>
      </c>
      <c r="D24" s="13"/>
      <c r="E24" s="13"/>
      <c r="F24" s="13"/>
      <c r="G24" s="13"/>
      <c r="H24" s="14"/>
      <c r="I24" s="13">
        <f>2.7+2.8+2.8+3.6+3.7+3.7</f>
        <v>19.3</v>
      </c>
      <c r="J24" s="13">
        <f>2.4+2.5+2.4+3.4+3.4+3.4</f>
        <v>17.5</v>
      </c>
      <c r="K24" s="13">
        <f t="shared" si="1"/>
        <v>36.799999999999997</v>
      </c>
      <c r="L24" s="14">
        <v>3</v>
      </c>
      <c r="M24" s="13">
        <f>2.6+2.6+2.6+3.6+3.6+3.6</f>
        <v>18.600000000000001</v>
      </c>
      <c r="N24" s="13">
        <f>2.5+2.6+2.4+3.7+3.6+3.4</f>
        <v>18.2</v>
      </c>
      <c r="O24" s="13">
        <f t="shared" si="2"/>
        <v>36.799999999999997</v>
      </c>
      <c r="P24" s="14">
        <v>3</v>
      </c>
      <c r="Q24" s="15">
        <f t="shared" si="0"/>
        <v>6</v>
      </c>
    </row>
    <row r="25" spans="1:17" x14ac:dyDescent="0.25">
      <c r="A25" s="12">
        <v>20</v>
      </c>
      <c r="B25" s="16" t="s">
        <v>510</v>
      </c>
      <c r="C25" s="12" t="s">
        <v>444</v>
      </c>
      <c r="D25" s="13"/>
      <c r="E25" s="13"/>
      <c r="F25" s="13"/>
      <c r="G25" s="13"/>
      <c r="H25" s="14"/>
      <c r="I25" s="13">
        <f>2.9+2.9+2.8+3.8+3.8+3.8</f>
        <v>20</v>
      </c>
      <c r="J25" s="13">
        <f>2.4+2.3+2.4+3.5+3.4+3.4</f>
        <v>17.399999999999999</v>
      </c>
      <c r="K25" s="13">
        <f t="shared" si="1"/>
        <v>37.4</v>
      </c>
      <c r="L25" s="14">
        <v>3</v>
      </c>
      <c r="M25" s="13">
        <f>2.6+2.6+2.6+3.6+3.7+3.6</f>
        <v>18.700000000000003</v>
      </c>
      <c r="N25" s="13">
        <f>2.5+2.3+2.3+3.5+3.5+3.4</f>
        <v>17.5</v>
      </c>
      <c r="O25" s="13">
        <f t="shared" si="2"/>
        <v>36.200000000000003</v>
      </c>
      <c r="P25" s="14">
        <v>3</v>
      </c>
      <c r="Q25" s="15">
        <f t="shared" si="0"/>
        <v>6</v>
      </c>
    </row>
    <row r="26" spans="1:17" x14ac:dyDescent="0.25">
      <c r="A26" s="12">
        <v>21</v>
      </c>
      <c r="B26" s="16" t="s">
        <v>506</v>
      </c>
      <c r="C26" s="12" t="s">
        <v>82</v>
      </c>
      <c r="D26" s="13"/>
      <c r="E26" s="13"/>
      <c r="F26" s="13"/>
      <c r="G26" s="13"/>
      <c r="H26" s="14"/>
      <c r="I26" s="13">
        <f>2.8+2.8+2.8+3.7+3.7+3.7</f>
        <v>19.499999999999996</v>
      </c>
      <c r="J26" s="13">
        <f>2.5+2.5+2.5+3.5+3.5+3.6</f>
        <v>18.100000000000001</v>
      </c>
      <c r="K26" s="13">
        <f t="shared" si="1"/>
        <v>37.599999999999994</v>
      </c>
      <c r="L26" s="14">
        <v>3</v>
      </c>
      <c r="M26" s="13">
        <f>2.5+2.5+2.5+3.5+3.5+3.5</f>
        <v>18</v>
      </c>
      <c r="N26" s="13">
        <f>2.5+2.4+2.5+3.6+3.5+3.5</f>
        <v>18</v>
      </c>
      <c r="O26" s="13">
        <f t="shared" si="2"/>
        <v>36</v>
      </c>
      <c r="P26" s="14">
        <v>3</v>
      </c>
      <c r="Q26" s="15">
        <f t="shared" si="0"/>
        <v>6</v>
      </c>
    </row>
    <row r="27" spans="1:17" x14ac:dyDescent="0.25">
      <c r="A27" s="12">
        <v>22</v>
      </c>
      <c r="B27" s="16" t="s">
        <v>516</v>
      </c>
      <c r="C27" s="12" t="s">
        <v>82</v>
      </c>
      <c r="D27" s="13"/>
      <c r="E27" s="13"/>
      <c r="F27" s="13"/>
      <c r="G27" s="13"/>
      <c r="H27" s="14"/>
      <c r="I27" s="13">
        <f>2.8+2.9+2.9+3.9+3.8+3.8</f>
        <v>20.100000000000001</v>
      </c>
      <c r="J27" s="13">
        <f>2.4+2.3+2.3+3.5+3.3+3.3</f>
        <v>17.100000000000001</v>
      </c>
      <c r="K27" s="13">
        <f t="shared" si="1"/>
        <v>37.200000000000003</v>
      </c>
      <c r="L27" s="14">
        <v>3</v>
      </c>
      <c r="M27" s="13">
        <f>2.5+2.5+2.5+3.6+3.6+3.6</f>
        <v>18.3</v>
      </c>
      <c r="N27" s="13">
        <f>2.5+2.4+2.3+3.7+3.5+3.3</f>
        <v>17.7</v>
      </c>
      <c r="O27" s="13">
        <f t="shared" si="2"/>
        <v>36</v>
      </c>
      <c r="P27" s="14">
        <v>3</v>
      </c>
      <c r="Q27" s="15">
        <f t="shared" si="0"/>
        <v>6</v>
      </c>
    </row>
    <row r="28" spans="1:17" x14ac:dyDescent="0.25">
      <c r="A28" s="12">
        <v>23</v>
      </c>
      <c r="B28" s="16" t="s">
        <v>508</v>
      </c>
      <c r="C28" s="12" t="s">
        <v>67</v>
      </c>
      <c r="D28" s="13"/>
      <c r="E28" s="13"/>
      <c r="F28" s="13"/>
      <c r="G28" s="13"/>
      <c r="H28" s="14"/>
      <c r="I28" s="13">
        <f>2.5+2.6+2.7+3.6+3.7+3.7</f>
        <v>18.8</v>
      </c>
      <c r="J28" s="13">
        <f>2.5+2.3+2.3+3.5+3.3+3.3</f>
        <v>17.2</v>
      </c>
      <c r="K28" s="13">
        <f t="shared" si="1"/>
        <v>36</v>
      </c>
      <c r="L28" s="14">
        <v>3</v>
      </c>
      <c r="M28" s="13">
        <f>2.6+2.5+2.6+3.6+3.5+3.6</f>
        <v>18.399999999999999</v>
      </c>
      <c r="N28" s="13">
        <f>2.4+2.3+2.4+3.6+3.4+3.4</f>
        <v>17.5</v>
      </c>
      <c r="O28" s="13">
        <f t="shared" si="2"/>
        <v>35.9</v>
      </c>
      <c r="P28" s="14">
        <v>3</v>
      </c>
      <c r="Q28" s="15">
        <f t="shared" si="0"/>
        <v>6</v>
      </c>
    </row>
    <row r="29" spans="1:17" x14ac:dyDescent="0.25">
      <c r="A29" s="12">
        <v>24</v>
      </c>
      <c r="B29" s="12" t="s">
        <v>243</v>
      </c>
      <c r="C29" s="12" t="s">
        <v>29</v>
      </c>
      <c r="D29" s="13">
        <v>15</v>
      </c>
      <c r="E29" s="13">
        <v>16.5</v>
      </c>
      <c r="F29" s="13">
        <v>14.7</v>
      </c>
      <c r="G29" s="13">
        <f>SUM(D29:F29)</f>
        <v>46.2</v>
      </c>
      <c r="H29" s="14">
        <v>3</v>
      </c>
      <c r="I29" s="13"/>
      <c r="J29" s="13"/>
      <c r="K29" s="13"/>
      <c r="L29" s="14"/>
      <c r="M29" s="13">
        <f>2.5+2.5+2.5+3.5+3.6+3.5</f>
        <v>18.100000000000001</v>
      </c>
      <c r="N29" s="13">
        <f>2.6+2.3+2.2+3+3.3+3.3</f>
        <v>16.700000000000003</v>
      </c>
      <c r="O29" s="13">
        <f t="shared" si="2"/>
        <v>34.800000000000004</v>
      </c>
      <c r="P29" s="14">
        <v>3</v>
      </c>
      <c r="Q29" s="15">
        <f t="shared" si="0"/>
        <v>6</v>
      </c>
    </row>
    <row r="30" spans="1:17" x14ac:dyDescent="0.25">
      <c r="A30" s="12">
        <v>25</v>
      </c>
      <c r="B30" s="12" t="s">
        <v>242</v>
      </c>
      <c r="C30" s="12" t="s">
        <v>67</v>
      </c>
      <c r="D30" s="13">
        <v>17.8</v>
      </c>
      <c r="E30" s="13">
        <v>16</v>
      </c>
      <c r="F30" s="13">
        <v>16.5</v>
      </c>
      <c r="G30" s="13">
        <f>SUM(D30:F30)</f>
        <v>50.3</v>
      </c>
      <c r="H30" s="14">
        <v>3</v>
      </c>
      <c r="I30" s="13">
        <f>3+2.8+2.9+4+3.8+3.9</f>
        <v>20.399999999999999</v>
      </c>
      <c r="J30" s="13">
        <f>2.4+2.4+2.3+3.4+3.4+3.3</f>
        <v>17.2</v>
      </c>
      <c r="K30" s="13">
        <f>SUM(I30:J30)</f>
        <v>37.599999999999994</v>
      </c>
      <c r="L30" s="14">
        <v>3</v>
      </c>
      <c r="M30" s="13"/>
      <c r="N30" s="13"/>
      <c r="O30" s="13"/>
      <c r="P30" s="14"/>
      <c r="Q30" s="15">
        <f t="shared" si="0"/>
        <v>6</v>
      </c>
    </row>
    <row r="31" spans="1:17" x14ac:dyDescent="0.25">
      <c r="A31" s="12">
        <v>26</v>
      </c>
      <c r="B31" s="12" t="s">
        <v>238</v>
      </c>
      <c r="C31" s="12" t="s">
        <v>15</v>
      </c>
      <c r="D31" s="13">
        <v>17.7</v>
      </c>
      <c r="E31" s="13">
        <v>17.2</v>
      </c>
      <c r="F31" s="13">
        <v>16.899999999999999</v>
      </c>
      <c r="G31" s="13">
        <f>SUM(D31:F31)</f>
        <v>51.8</v>
      </c>
      <c r="H31" s="14">
        <v>3</v>
      </c>
      <c r="I31" s="13">
        <f>2.8+2.8+2.8+3.7+3.7+3.7</f>
        <v>19.499999999999996</v>
      </c>
      <c r="J31" s="13">
        <f>2.4+2.4+2.4+3.5+3.4+3.3</f>
        <v>17.399999999999999</v>
      </c>
      <c r="K31" s="13">
        <f>SUM(I31:J31)</f>
        <v>36.899999999999991</v>
      </c>
      <c r="L31" s="14">
        <v>3</v>
      </c>
      <c r="M31" s="13"/>
      <c r="N31" s="13"/>
      <c r="O31" s="13"/>
      <c r="P31" s="14"/>
      <c r="Q31" s="15">
        <f t="shared" si="0"/>
        <v>6</v>
      </c>
    </row>
    <row r="32" spans="1:17" x14ac:dyDescent="0.25">
      <c r="A32" s="12">
        <v>27</v>
      </c>
      <c r="B32" s="12" t="s">
        <v>235</v>
      </c>
      <c r="C32" s="12" t="s">
        <v>15</v>
      </c>
      <c r="D32" s="13">
        <v>14.8</v>
      </c>
      <c r="E32" s="13">
        <v>16.600000000000001</v>
      </c>
      <c r="F32" s="13">
        <v>15.9</v>
      </c>
      <c r="G32" s="13">
        <f>SUM(D32:F32)</f>
        <v>47.300000000000004</v>
      </c>
      <c r="H32" s="14">
        <v>3</v>
      </c>
      <c r="I32" s="13">
        <f>2.6+2.6+2.7+3.6+3.6+3.6</f>
        <v>18.7</v>
      </c>
      <c r="J32" s="13">
        <f>2.3+2.2+2.2+3.4+3.2+3.2</f>
        <v>16.5</v>
      </c>
      <c r="K32" s="13">
        <f>SUM(I32:J32)</f>
        <v>35.200000000000003</v>
      </c>
      <c r="L32" s="14">
        <v>3</v>
      </c>
      <c r="M32" s="13"/>
      <c r="N32" s="13"/>
      <c r="O32" s="13"/>
      <c r="P32" s="14"/>
      <c r="Q32" s="15">
        <f t="shared" si="0"/>
        <v>6</v>
      </c>
    </row>
    <row r="33" spans="1:17" x14ac:dyDescent="0.25">
      <c r="A33" s="12">
        <v>28</v>
      </c>
      <c r="B33" s="16" t="s">
        <v>712</v>
      </c>
      <c r="C33" s="12" t="s">
        <v>660</v>
      </c>
      <c r="D33" s="13"/>
      <c r="E33" s="13"/>
      <c r="F33" s="13"/>
      <c r="G33" s="13"/>
      <c r="H33" s="14"/>
      <c r="I33" s="13"/>
      <c r="J33" s="13"/>
      <c r="K33" s="13"/>
      <c r="L33" s="14"/>
      <c r="M33" s="13">
        <f>2.7+2.6+2.7+3.6+3.5+3.7</f>
        <v>18.8</v>
      </c>
      <c r="N33" s="13">
        <f>2.6+2.6+2.4+3.7+3.7+3.3</f>
        <v>18.3</v>
      </c>
      <c r="O33" s="13">
        <f>M33+N33</f>
        <v>37.1</v>
      </c>
      <c r="P33" s="14">
        <v>3</v>
      </c>
      <c r="Q33" s="15">
        <f t="shared" si="0"/>
        <v>3</v>
      </c>
    </row>
    <row r="34" spans="1:17" x14ac:dyDescent="0.25">
      <c r="A34" s="12">
        <v>29</v>
      </c>
      <c r="B34" s="16" t="s">
        <v>456</v>
      </c>
      <c r="C34" s="12" t="s">
        <v>311</v>
      </c>
      <c r="D34" s="13"/>
      <c r="E34" s="13"/>
      <c r="F34" s="13"/>
      <c r="G34" s="13"/>
      <c r="H34" s="14"/>
      <c r="I34" s="13"/>
      <c r="J34" s="13"/>
      <c r="K34" s="13"/>
      <c r="L34" s="14"/>
      <c r="M34" s="13">
        <f>2.5+2.5+2.5+3.5+3.5+3.5</f>
        <v>18</v>
      </c>
      <c r="N34" s="13">
        <f>2.4+2.7+2.5+3.5+3.6+3.6</f>
        <v>18.3</v>
      </c>
      <c r="O34" s="13">
        <f>M34+N34</f>
        <v>36.299999999999997</v>
      </c>
      <c r="P34" s="14">
        <v>3</v>
      </c>
      <c r="Q34" s="15">
        <f t="shared" si="0"/>
        <v>3</v>
      </c>
    </row>
    <row r="35" spans="1:17" x14ac:dyDescent="0.25">
      <c r="A35" s="12">
        <v>30</v>
      </c>
      <c r="B35" s="16" t="s">
        <v>714</v>
      </c>
      <c r="C35" s="12" t="s">
        <v>698</v>
      </c>
      <c r="D35" s="13"/>
      <c r="E35" s="13"/>
      <c r="F35" s="13"/>
      <c r="G35" s="13"/>
      <c r="H35" s="14"/>
      <c r="I35" s="13"/>
      <c r="J35" s="13"/>
      <c r="K35" s="13"/>
      <c r="L35" s="14"/>
      <c r="M35" s="13">
        <f>2.5+2.5+2.5+3.5+3.5+3.6</f>
        <v>18.100000000000001</v>
      </c>
      <c r="N35" s="13">
        <f>2.4+2.4+2.4+3.5+3.3+3.5</f>
        <v>17.5</v>
      </c>
      <c r="O35" s="13">
        <f>M35+N35</f>
        <v>35.6</v>
      </c>
      <c r="P35" s="14">
        <v>3</v>
      </c>
      <c r="Q35" s="15">
        <f t="shared" si="0"/>
        <v>3</v>
      </c>
    </row>
    <row r="36" spans="1:17" x14ac:dyDescent="0.25">
      <c r="A36" s="12">
        <v>31</v>
      </c>
      <c r="B36" s="16" t="s">
        <v>474</v>
      </c>
      <c r="C36" s="12" t="s">
        <v>444</v>
      </c>
      <c r="D36" s="13"/>
      <c r="E36" s="13"/>
      <c r="F36" s="13"/>
      <c r="G36" s="13"/>
      <c r="H36" s="14"/>
      <c r="I36" s="13"/>
      <c r="J36" s="13"/>
      <c r="K36" s="13"/>
      <c r="L36" s="14"/>
      <c r="M36" s="13">
        <f>2.4+2.4+2.4+3.5+3.4+3.4</f>
        <v>17.5</v>
      </c>
      <c r="N36" s="13">
        <f>2.4+2.3+2.4+3.6+3.4+3.5</f>
        <v>17.600000000000001</v>
      </c>
      <c r="O36" s="13">
        <f>M36+N36</f>
        <v>35.1</v>
      </c>
      <c r="P36" s="14">
        <v>3</v>
      </c>
      <c r="Q36" s="15">
        <f t="shared" si="0"/>
        <v>3</v>
      </c>
    </row>
    <row r="37" spans="1:17" ht="30" x14ac:dyDescent="0.25">
      <c r="A37" s="12">
        <v>32</v>
      </c>
      <c r="B37" s="16" t="s">
        <v>713</v>
      </c>
      <c r="C37" s="12" t="s">
        <v>493</v>
      </c>
      <c r="D37" s="13"/>
      <c r="E37" s="13"/>
      <c r="F37" s="13"/>
      <c r="G37" s="13"/>
      <c r="H37" s="14"/>
      <c r="I37" s="13"/>
      <c r="J37" s="13"/>
      <c r="K37" s="13"/>
      <c r="L37" s="14"/>
      <c r="M37" s="13">
        <f>2.5+2.5+2.5+3.6+3.5+3.6</f>
        <v>18.2</v>
      </c>
      <c r="N37" s="13">
        <f>2.3+2.2+2.2+3.6+3.3+3.2</f>
        <v>16.8</v>
      </c>
      <c r="O37" s="13">
        <f>M37+N37</f>
        <v>35</v>
      </c>
      <c r="P37" s="14">
        <v>3</v>
      </c>
      <c r="Q37" s="15">
        <f t="shared" si="0"/>
        <v>3</v>
      </c>
    </row>
    <row r="38" spans="1:17" x14ac:dyDescent="0.25">
      <c r="A38" s="12">
        <v>33</v>
      </c>
      <c r="B38" s="16" t="s">
        <v>514</v>
      </c>
      <c r="C38" s="12" t="s">
        <v>82</v>
      </c>
      <c r="D38" s="13"/>
      <c r="E38" s="13"/>
      <c r="F38" s="13"/>
      <c r="G38" s="13"/>
      <c r="H38" s="14"/>
      <c r="I38" s="13">
        <f>3+2.9+2.9+3.9+3.8+3.8</f>
        <v>20.3</v>
      </c>
      <c r="J38" s="13">
        <f>2.6+2.5+2.3+3.5+3.4+3.4</f>
        <v>17.7</v>
      </c>
      <c r="K38" s="13">
        <f>SUM(I38:J38)</f>
        <v>38</v>
      </c>
      <c r="L38" s="14">
        <v>3</v>
      </c>
      <c r="M38" s="13"/>
      <c r="N38" s="13"/>
      <c r="O38" s="13"/>
      <c r="P38" s="14"/>
      <c r="Q38" s="15">
        <f t="shared" si="0"/>
        <v>3</v>
      </c>
    </row>
    <row r="39" spans="1:17" ht="16.5" customHeight="1" x14ac:dyDescent="0.25">
      <c r="A39" s="12">
        <v>34</v>
      </c>
      <c r="B39" s="16" t="s">
        <v>518</v>
      </c>
      <c r="C39" s="12" t="s">
        <v>9</v>
      </c>
      <c r="D39" s="13"/>
      <c r="E39" s="13"/>
      <c r="F39" s="13"/>
      <c r="G39" s="13"/>
      <c r="H39" s="14"/>
      <c r="I39" s="13">
        <f>2.7+2.7+2.6+3.7+3.7+3.6</f>
        <v>19</v>
      </c>
      <c r="J39" s="13">
        <f>2.4+2.4+2.4+3.3+3.3+3.3</f>
        <v>17.100000000000001</v>
      </c>
      <c r="K39" s="13">
        <f>SUM(I39:J39)</f>
        <v>36.1</v>
      </c>
      <c r="L39" s="14">
        <v>3</v>
      </c>
      <c r="M39" s="13"/>
      <c r="N39" s="13"/>
      <c r="O39" s="13"/>
      <c r="P39" s="14"/>
      <c r="Q39" s="15">
        <f t="shared" si="0"/>
        <v>3</v>
      </c>
    </row>
    <row r="40" spans="1:17" x14ac:dyDescent="0.25">
      <c r="A40" s="12">
        <v>35</v>
      </c>
      <c r="B40" s="16" t="s">
        <v>511</v>
      </c>
      <c r="C40" s="12" t="s">
        <v>444</v>
      </c>
      <c r="D40" s="13"/>
      <c r="E40" s="13"/>
      <c r="F40" s="13"/>
      <c r="G40" s="13"/>
      <c r="H40" s="14"/>
      <c r="I40" s="13">
        <f>2.5+2.5+2.5+3.5+3.5+3.5</f>
        <v>18</v>
      </c>
      <c r="J40" s="13">
        <f>2.1+2+2.1+3.3+3.1+3.1</f>
        <v>15.7</v>
      </c>
      <c r="K40" s="13">
        <f>SUM(I40:J40)</f>
        <v>33.700000000000003</v>
      </c>
      <c r="L40" s="14">
        <v>3</v>
      </c>
      <c r="M40" s="13"/>
      <c r="N40" s="13"/>
      <c r="O40" s="13"/>
      <c r="P40" s="14"/>
      <c r="Q40" s="15">
        <f t="shared" si="0"/>
        <v>3</v>
      </c>
    </row>
    <row r="41" spans="1:17" x14ac:dyDescent="0.2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</sheetData>
  <sortState ref="B4:Q38">
    <sortCondition descending="1" ref="Q4:Q38"/>
  </sortState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22.28515625" customWidth="1"/>
    <col min="4" max="5" width="6.28515625" customWidth="1"/>
    <col min="6" max="6" width="5.7109375" customWidth="1"/>
    <col min="7" max="7" width="11.85546875" bestFit="1" customWidth="1"/>
    <col min="8" max="8" width="18.85546875" customWidth="1"/>
    <col min="9" max="9" width="6.140625" customWidth="1"/>
    <col min="10" max="10" width="6.42578125" customWidth="1"/>
    <col min="12" max="12" width="19.28515625" customWidth="1"/>
    <col min="13" max="13" width="7.140625" customWidth="1"/>
    <col min="14" max="14" width="6.28515625" customWidth="1"/>
    <col min="16" max="16" width="18" customWidth="1"/>
    <col min="17" max="17" width="23.71093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234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227</v>
      </c>
      <c r="C6" s="28" t="s">
        <v>5</v>
      </c>
      <c r="D6" s="29">
        <v>22.9</v>
      </c>
      <c r="E6" s="29">
        <v>19.899999999999999</v>
      </c>
      <c r="F6" s="29">
        <v>19.899999999999999</v>
      </c>
      <c r="G6" s="29">
        <f>SUM(D6:F6)</f>
        <v>62.699999999999996</v>
      </c>
      <c r="H6" s="31">
        <v>23</v>
      </c>
      <c r="I6" s="29">
        <f>2.7+2.6+2.7+3.5+3.6+3.6</f>
        <v>18.7</v>
      </c>
      <c r="J6" s="29">
        <f>2.5+2.5+2.6+4.2+4.6+4.3</f>
        <v>20.7</v>
      </c>
      <c r="K6" s="29">
        <f t="shared" ref="K6:K13" si="0">SUM(I6:J6)</f>
        <v>39.4</v>
      </c>
      <c r="L6" s="31">
        <v>13</v>
      </c>
      <c r="M6" s="29">
        <f>2.5+2.5+2.6+3.7+3.6+3.6</f>
        <v>18.5</v>
      </c>
      <c r="N6" s="29">
        <f>2.6+2.6+2.6+3.7+3.6+3.7</f>
        <v>18.8</v>
      </c>
      <c r="O6" s="29">
        <f t="shared" ref="O6:O11" si="1">M6+N6</f>
        <v>37.299999999999997</v>
      </c>
      <c r="P6" s="31">
        <v>18</v>
      </c>
      <c r="Q6" s="32">
        <f t="shared" ref="Q6:Q35" si="2">H6+L6+P6</f>
        <v>54</v>
      </c>
    </row>
    <row r="7" spans="1:17" x14ac:dyDescent="0.25">
      <c r="A7" s="28">
        <v>2</v>
      </c>
      <c r="B7" s="30" t="s">
        <v>538</v>
      </c>
      <c r="C7" s="28" t="s">
        <v>82</v>
      </c>
      <c r="D7" s="29"/>
      <c r="E7" s="29"/>
      <c r="F7" s="29"/>
      <c r="G7" s="29"/>
      <c r="H7" s="31"/>
      <c r="I7" s="29">
        <f>2.6+2.6+2.6+3.5+3.6+3.6+3.7</f>
        <v>22.2</v>
      </c>
      <c r="J7" s="29">
        <f>2.5+2.6+2.5+4.2+4+4.1</f>
        <v>19.899999999999999</v>
      </c>
      <c r="K7" s="29">
        <f t="shared" si="0"/>
        <v>42.099999999999994</v>
      </c>
      <c r="L7" s="31">
        <v>23</v>
      </c>
      <c r="M7" s="29">
        <f>2.8+2.6+2.5+3.8+3.5+3.6</f>
        <v>18.8</v>
      </c>
      <c r="N7" s="29">
        <f>2.6+2.5+2.6+3.6+3.6+3.6</f>
        <v>18.5</v>
      </c>
      <c r="O7" s="29">
        <f t="shared" si="1"/>
        <v>37.299999999999997</v>
      </c>
      <c r="P7" s="31">
        <v>23</v>
      </c>
      <c r="Q7" s="32">
        <f t="shared" si="2"/>
        <v>46</v>
      </c>
    </row>
    <row r="8" spans="1:17" x14ac:dyDescent="0.25">
      <c r="A8" s="28">
        <v>3</v>
      </c>
      <c r="B8" s="28" t="s">
        <v>523</v>
      </c>
      <c r="C8" s="28" t="s">
        <v>91</v>
      </c>
      <c r="D8" s="29">
        <v>21.6</v>
      </c>
      <c r="E8" s="29">
        <v>19.899999999999999</v>
      </c>
      <c r="F8" s="29">
        <v>19.3</v>
      </c>
      <c r="G8" s="29">
        <f>SUM(D8:F8)</f>
        <v>60.8</v>
      </c>
      <c r="H8" s="31">
        <v>13</v>
      </c>
      <c r="I8" s="29">
        <f>2.7+2.6+2.6+3.2+3.6+3.6</f>
        <v>18.3</v>
      </c>
      <c r="J8" s="29">
        <f>2.5+2.6+2.5+4.1+4.2+4.2</f>
        <v>20.099999999999998</v>
      </c>
      <c r="K8" s="29">
        <f t="shared" si="0"/>
        <v>38.4</v>
      </c>
      <c r="L8" s="31">
        <v>13</v>
      </c>
      <c r="M8" s="29">
        <f>2.8+2.5+2.5+3.8+3.5+3.4</f>
        <v>18.5</v>
      </c>
      <c r="N8" s="29">
        <f>2.6+2.5+2.6+3.6+3.6+3.6</f>
        <v>18.5</v>
      </c>
      <c r="O8" s="29">
        <f t="shared" si="1"/>
        <v>37</v>
      </c>
      <c r="P8" s="31">
        <v>13</v>
      </c>
      <c r="Q8" s="32">
        <f t="shared" si="2"/>
        <v>39</v>
      </c>
    </row>
    <row r="9" spans="1:17" x14ac:dyDescent="0.25">
      <c r="A9" s="28">
        <v>4</v>
      </c>
      <c r="B9" s="28" t="s">
        <v>229</v>
      </c>
      <c r="C9" s="28" t="s">
        <v>91</v>
      </c>
      <c r="D9" s="29">
        <v>22.3</v>
      </c>
      <c r="E9" s="29">
        <v>19.5</v>
      </c>
      <c r="F9" s="29">
        <v>19.7</v>
      </c>
      <c r="G9" s="29">
        <f>SUM(D9:F9)</f>
        <v>61.5</v>
      </c>
      <c r="H9" s="31">
        <v>18</v>
      </c>
      <c r="I9" s="29">
        <f>2.7+2.6+2.6+3.3+3.5+3.5</f>
        <v>18.2</v>
      </c>
      <c r="J9" s="29">
        <f>2.4+2.5+2.5+4+4.4+4.1</f>
        <v>19.899999999999999</v>
      </c>
      <c r="K9" s="29">
        <f t="shared" si="0"/>
        <v>38.099999999999994</v>
      </c>
      <c r="L9" s="31">
        <v>3</v>
      </c>
      <c r="M9" s="29">
        <f>2.7+2.4+2.5+3.7+3.3+3.4</f>
        <v>18</v>
      </c>
      <c r="N9" s="29">
        <f>2.5+2.6+2.5+3.6+3.6+3.6</f>
        <v>18.399999999999999</v>
      </c>
      <c r="O9" s="29">
        <f t="shared" si="1"/>
        <v>36.4</v>
      </c>
      <c r="P9" s="31">
        <v>3</v>
      </c>
      <c r="Q9" s="32">
        <f t="shared" si="2"/>
        <v>24</v>
      </c>
    </row>
    <row r="10" spans="1:17" x14ac:dyDescent="0.25">
      <c r="A10" s="28">
        <v>5</v>
      </c>
      <c r="B10" s="30" t="s">
        <v>529</v>
      </c>
      <c r="C10" s="28" t="s">
        <v>539</v>
      </c>
      <c r="D10" s="29"/>
      <c r="E10" s="29"/>
      <c r="F10" s="29"/>
      <c r="G10" s="29"/>
      <c r="H10" s="31"/>
      <c r="I10" s="29">
        <f>2.7+2.6+2.7+3.4+3.5+3.8</f>
        <v>18.7</v>
      </c>
      <c r="J10" s="29">
        <f>2.7+2.7+2.7+4.2+4.4+4.3</f>
        <v>21.000000000000004</v>
      </c>
      <c r="K10" s="29">
        <f t="shared" si="0"/>
        <v>39.700000000000003</v>
      </c>
      <c r="L10" s="31">
        <v>18</v>
      </c>
      <c r="M10" s="29">
        <f>2.6+2.4+2.4+3.6+3.3+3.4</f>
        <v>17.7</v>
      </c>
      <c r="N10" s="29">
        <f>2.5+2.5+2.4+3.5+3.5+3.5</f>
        <v>17.899999999999999</v>
      </c>
      <c r="O10" s="29">
        <f t="shared" si="1"/>
        <v>35.599999999999994</v>
      </c>
      <c r="P10" s="31">
        <v>3</v>
      </c>
      <c r="Q10" s="32">
        <f t="shared" si="2"/>
        <v>21</v>
      </c>
    </row>
    <row r="11" spans="1:17" x14ac:dyDescent="0.25">
      <c r="A11" s="28">
        <v>6</v>
      </c>
      <c r="B11" s="30" t="s">
        <v>531</v>
      </c>
      <c r="C11" s="28" t="s">
        <v>397</v>
      </c>
      <c r="D11" s="29"/>
      <c r="E11" s="29"/>
      <c r="F11" s="29"/>
      <c r="G11" s="29"/>
      <c r="H11" s="31"/>
      <c r="I11" s="29">
        <f>2.6+2.6+2.6+3.4+3.5+3.5</f>
        <v>18.200000000000003</v>
      </c>
      <c r="J11" s="29">
        <f>2.4+2.5+2.5+3.9+4.4+4</f>
        <v>19.700000000000003</v>
      </c>
      <c r="K11" s="29">
        <f t="shared" si="0"/>
        <v>37.900000000000006</v>
      </c>
      <c r="L11" s="31">
        <v>3</v>
      </c>
      <c r="M11" s="29">
        <f>2.7+2.6+2.5+3.8+3.5+3.5</f>
        <v>18.600000000000001</v>
      </c>
      <c r="N11" s="29">
        <f>2.5+2.4+2.5+3.6+3.4+3.5</f>
        <v>17.899999999999999</v>
      </c>
      <c r="O11" s="29">
        <f t="shared" si="1"/>
        <v>36.5</v>
      </c>
      <c r="P11" s="31">
        <v>13</v>
      </c>
      <c r="Q11" s="32">
        <f t="shared" si="2"/>
        <v>16</v>
      </c>
    </row>
    <row r="12" spans="1:17" x14ac:dyDescent="0.25">
      <c r="A12" s="28">
        <v>7</v>
      </c>
      <c r="B12" s="28" t="s">
        <v>230</v>
      </c>
      <c r="C12" s="28" t="s">
        <v>29</v>
      </c>
      <c r="D12" s="29">
        <v>21.4</v>
      </c>
      <c r="E12" s="29">
        <v>19.3</v>
      </c>
      <c r="F12" s="29">
        <v>19.8</v>
      </c>
      <c r="G12" s="29">
        <f>SUM(D12:F12)</f>
        <v>60.5</v>
      </c>
      <c r="H12" s="31">
        <v>13</v>
      </c>
      <c r="I12" s="29">
        <f>2.5+2.5+2.5+3.3+3.2+3.1</f>
        <v>17.100000000000001</v>
      </c>
      <c r="J12" s="29">
        <f>2.5+2.3+2.4+3.8+4+3.7</f>
        <v>18.7</v>
      </c>
      <c r="K12" s="29">
        <f t="shared" si="0"/>
        <v>35.799999999999997</v>
      </c>
      <c r="L12" s="31">
        <v>3</v>
      </c>
      <c r="M12" s="29"/>
      <c r="N12" s="29"/>
      <c r="O12" s="29"/>
      <c r="P12" s="31"/>
      <c r="Q12" s="32">
        <f t="shared" si="2"/>
        <v>16</v>
      </c>
    </row>
    <row r="13" spans="1:17" x14ac:dyDescent="0.25">
      <c r="A13" s="28">
        <v>8</v>
      </c>
      <c r="B13" s="28" t="s">
        <v>233</v>
      </c>
      <c r="C13" s="28" t="s">
        <v>12</v>
      </c>
      <c r="D13" s="29">
        <v>20.6</v>
      </c>
      <c r="E13" s="29">
        <v>17.8</v>
      </c>
      <c r="F13" s="29">
        <v>17.600000000000001</v>
      </c>
      <c r="G13" s="29">
        <f>SUM(D13:F13)</f>
        <v>56.000000000000007</v>
      </c>
      <c r="H13" s="31">
        <v>3</v>
      </c>
      <c r="I13" s="29">
        <f>2.5+2.5+2.6+3.5+3.4+3.5</f>
        <v>18</v>
      </c>
      <c r="J13" s="29">
        <f>2.5+2.3+2.3+4.1+3.8+3.9</f>
        <v>18.899999999999999</v>
      </c>
      <c r="K13" s="29">
        <f t="shared" si="0"/>
        <v>36.9</v>
      </c>
      <c r="L13" s="31">
        <v>3</v>
      </c>
      <c r="M13" s="29">
        <f>2.5+2.3+2.2+3.4+3.3+3.3</f>
        <v>17</v>
      </c>
      <c r="N13" s="29">
        <f>2.3+2.5+2.5+3.2+3.6+3.6</f>
        <v>17.7</v>
      </c>
      <c r="O13" s="29">
        <f t="shared" ref="O13:O29" si="3">M13+N13</f>
        <v>34.700000000000003</v>
      </c>
      <c r="P13" s="31">
        <v>3</v>
      </c>
      <c r="Q13" s="32">
        <f t="shared" si="2"/>
        <v>9</v>
      </c>
    </row>
    <row r="14" spans="1:17" x14ac:dyDescent="0.25">
      <c r="A14" s="28">
        <v>9</v>
      </c>
      <c r="B14" s="28" t="s">
        <v>228</v>
      </c>
      <c r="C14" s="28" t="s">
        <v>7</v>
      </c>
      <c r="D14" s="29">
        <v>20.8</v>
      </c>
      <c r="E14" s="29">
        <v>19.100000000000001</v>
      </c>
      <c r="F14" s="29">
        <v>19.600000000000001</v>
      </c>
      <c r="G14" s="29">
        <f>SUM(D14:F14)</f>
        <v>59.500000000000007</v>
      </c>
      <c r="H14" s="31">
        <v>3</v>
      </c>
      <c r="I14" s="29"/>
      <c r="J14" s="29"/>
      <c r="K14" s="29"/>
      <c r="L14" s="31"/>
      <c r="M14" s="29">
        <f>2.6+2.5+2.4+3.6+3.4+3.3</f>
        <v>17.8</v>
      </c>
      <c r="N14" s="29">
        <f>2.5+2.5+2.6+3.5+3.5+3.5</f>
        <v>18.100000000000001</v>
      </c>
      <c r="O14" s="29">
        <f t="shared" si="3"/>
        <v>35.900000000000006</v>
      </c>
      <c r="P14" s="31">
        <v>3</v>
      </c>
      <c r="Q14" s="32">
        <f t="shared" si="2"/>
        <v>6</v>
      </c>
    </row>
    <row r="15" spans="1:17" x14ac:dyDescent="0.25">
      <c r="A15" s="28">
        <v>10</v>
      </c>
      <c r="B15" s="30" t="s">
        <v>525</v>
      </c>
      <c r="C15" s="28" t="s">
        <v>5</v>
      </c>
      <c r="D15" s="29"/>
      <c r="E15" s="29"/>
      <c r="F15" s="29"/>
      <c r="G15" s="29"/>
      <c r="H15" s="31"/>
      <c r="I15" s="29">
        <f>2.6+2.5+2.6+3.4+3.3+3.5</f>
        <v>17.899999999999999</v>
      </c>
      <c r="J15" s="29">
        <f>2.5+2.5+2.5+4.1+4.3+4.1</f>
        <v>20</v>
      </c>
      <c r="K15" s="29">
        <f t="shared" ref="K15:K23" si="4">SUM(I15:J15)</f>
        <v>37.9</v>
      </c>
      <c r="L15" s="31">
        <v>3</v>
      </c>
      <c r="M15" s="29">
        <f>2.4+2.4+2.3+3.5+3.3+3.3</f>
        <v>17.2</v>
      </c>
      <c r="N15" s="29">
        <f>2.5+2.5+2.6+3.6+3.4+3.5</f>
        <v>18.100000000000001</v>
      </c>
      <c r="O15" s="29">
        <f t="shared" si="3"/>
        <v>35.299999999999997</v>
      </c>
      <c r="P15" s="31">
        <v>3</v>
      </c>
      <c r="Q15" s="32">
        <f t="shared" si="2"/>
        <v>6</v>
      </c>
    </row>
    <row r="16" spans="1:17" x14ac:dyDescent="0.25">
      <c r="A16" s="28">
        <v>11</v>
      </c>
      <c r="B16" s="30" t="s">
        <v>530</v>
      </c>
      <c r="C16" s="28" t="s">
        <v>397</v>
      </c>
      <c r="D16" s="29"/>
      <c r="E16" s="29"/>
      <c r="F16" s="29"/>
      <c r="G16" s="29"/>
      <c r="H16" s="31"/>
      <c r="I16" s="29">
        <f>2.5+2.5+2.5+3.4+3.4+3.4</f>
        <v>17.7</v>
      </c>
      <c r="J16" s="29">
        <f>2.3+2.5+2.4+3.7+3.8+3.8</f>
        <v>18.5</v>
      </c>
      <c r="K16" s="29">
        <f t="shared" si="4"/>
        <v>36.200000000000003</v>
      </c>
      <c r="L16" s="31">
        <v>3</v>
      </c>
      <c r="M16" s="29">
        <f>2.4+2.3+2.4+3.4+3.3+3.4</f>
        <v>17.2</v>
      </c>
      <c r="N16" s="29">
        <f>2.5+2.4+2.6+3.5+3.4+3.5</f>
        <v>17.899999999999999</v>
      </c>
      <c r="O16" s="29">
        <f t="shared" si="3"/>
        <v>35.099999999999994</v>
      </c>
      <c r="P16" s="31">
        <v>3</v>
      </c>
      <c r="Q16" s="32">
        <f t="shared" si="2"/>
        <v>6</v>
      </c>
    </row>
    <row r="17" spans="1:17" x14ac:dyDescent="0.25">
      <c r="A17" s="28">
        <v>12</v>
      </c>
      <c r="B17" s="30" t="s">
        <v>537</v>
      </c>
      <c r="C17" s="28" t="s">
        <v>53</v>
      </c>
      <c r="D17" s="29"/>
      <c r="E17" s="29"/>
      <c r="F17" s="29"/>
      <c r="G17" s="29"/>
      <c r="H17" s="31"/>
      <c r="I17" s="29">
        <f>2.5+2.5+2.5+3.5+3.5+3.4</f>
        <v>17.899999999999999</v>
      </c>
      <c r="J17" s="29">
        <f>2.4+2.4+2.4+3.9+4+3.8</f>
        <v>18.899999999999999</v>
      </c>
      <c r="K17" s="29">
        <f t="shared" si="4"/>
        <v>36.799999999999997</v>
      </c>
      <c r="L17" s="31">
        <v>3</v>
      </c>
      <c r="M17" s="29">
        <f>2.3+2.3+2.4+3.4+3.3+3.4</f>
        <v>17.099999999999998</v>
      </c>
      <c r="N17" s="29">
        <f>2.4+2.5+2.5+3.4+3.6+3.5</f>
        <v>17.899999999999999</v>
      </c>
      <c r="O17" s="29">
        <f t="shared" si="3"/>
        <v>35</v>
      </c>
      <c r="P17" s="31">
        <v>3</v>
      </c>
      <c r="Q17" s="32">
        <f t="shared" si="2"/>
        <v>6</v>
      </c>
    </row>
    <row r="18" spans="1:17" x14ac:dyDescent="0.25">
      <c r="A18" s="28">
        <v>13</v>
      </c>
      <c r="B18" s="30" t="s">
        <v>532</v>
      </c>
      <c r="C18" s="28" t="s">
        <v>82</v>
      </c>
      <c r="D18" s="29"/>
      <c r="E18" s="29"/>
      <c r="F18" s="29"/>
      <c r="G18" s="29"/>
      <c r="H18" s="31"/>
      <c r="I18" s="29">
        <f>2.4+2.4+2.4+3.3+3.2+3.3</f>
        <v>17</v>
      </c>
      <c r="J18" s="29">
        <f>2.3+2.2+2.2+3.7+3.5+3.8</f>
        <v>17.7</v>
      </c>
      <c r="K18" s="29">
        <f t="shared" si="4"/>
        <v>34.700000000000003</v>
      </c>
      <c r="L18" s="31">
        <v>3</v>
      </c>
      <c r="M18" s="29">
        <f>2.3+2.3+2.3+3.4+3.3+3.3</f>
        <v>16.899999999999999</v>
      </c>
      <c r="N18" s="29">
        <f>2.4+2.5+2.4+3.5+3.4+3.4</f>
        <v>17.600000000000001</v>
      </c>
      <c r="O18" s="29">
        <f t="shared" si="3"/>
        <v>34.5</v>
      </c>
      <c r="P18" s="31">
        <v>3</v>
      </c>
      <c r="Q18" s="32">
        <f t="shared" si="2"/>
        <v>6</v>
      </c>
    </row>
    <row r="19" spans="1:17" x14ac:dyDescent="0.25">
      <c r="A19" s="28">
        <v>14</v>
      </c>
      <c r="B19" s="30" t="s">
        <v>524</v>
      </c>
      <c r="C19" s="28" t="s">
        <v>431</v>
      </c>
      <c r="D19" s="29"/>
      <c r="E19" s="29"/>
      <c r="F19" s="29"/>
      <c r="G19" s="29"/>
      <c r="H19" s="31"/>
      <c r="I19" s="29">
        <f>2.5+2.5+2.5+3.4+3.4+3.2</f>
        <v>17.5</v>
      </c>
      <c r="J19" s="29">
        <f>2.2+2.2+2.3+3.8+3.5+3.8</f>
        <v>17.8</v>
      </c>
      <c r="K19" s="29">
        <f t="shared" si="4"/>
        <v>35.299999999999997</v>
      </c>
      <c r="L19" s="31">
        <v>3</v>
      </c>
      <c r="M19" s="29">
        <f>2.3+2.2+2.3+3.2+3.2+3.3</f>
        <v>16.5</v>
      </c>
      <c r="N19" s="29">
        <f>2.4+2.5+2.5+3.4+3.5+3.5</f>
        <v>17.8</v>
      </c>
      <c r="O19" s="29">
        <f t="shared" si="3"/>
        <v>34.299999999999997</v>
      </c>
      <c r="P19" s="31">
        <v>3</v>
      </c>
      <c r="Q19" s="32">
        <f t="shared" si="2"/>
        <v>6</v>
      </c>
    </row>
    <row r="20" spans="1:17" x14ac:dyDescent="0.25">
      <c r="A20" s="28">
        <v>15</v>
      </c>
      <c r="B20" s="30" t="s">
        <v>535</v>
      </c>
      <c r="C20" s="28" t="s">
        <v>444</v>
      </c>
      <c r="D20" s="29"/>
      <c r="E20" s="29"/>
      <c r="F20" s="29"/>
      <c r="G20" s="29"/>
      <c r="H20" s="31"/>
      <c r="I20" s="29">
        <f>2.5+2.5+2.5+3.1+3.1+3</f>
        <v>16.7</v>
      </c>
      <c r="J20" s="29">
        <f>2.4+2.2+2.3+3.7+3.3+3.7</f>
        <v>17.599999999999998</v>
      </c>
      <c r="K20" s="29">
        <f t="shared" si="4"/>
        <v>34.299999999999997</v>
      </c>
      <c r="L20" s="31">
        <v>3</v>
      </c>
      <c r="M20" s="29">
        <f>2.3+2.2+2.3+3.2+3.2+3.4</f>
        <v>16.599999999999998</v>
      </c>
      <c r="N20" s="29">
        <f>2.3+2.5+2.5+3.4+3.5+3.5</f>
        <v>17.7</v>
      </c>
      <c r="O20" s="29">
        <f t="shared" si="3"/>
        <v>34.299999999999997</v>
      </c>
      <c r="P20" s="31">
        <v>3</v>
      </c>
      <c r="Q20" s="32">
        <f t="shared" si="2"/>
        <v>6</v>
      </c>
    </row>
    <row r="21" spans="1:17" x14ac:dyDescent="0.25">
      <c r="A21" s="28">
        <v>16</v>
      </c>
      <c r="B21" s="30" t="s">
        <v>533</v>
      </c>
      <c r="C21" s="28" t="s">
        <v>82</v>
      </c>
      <c r="D21" s="29"/>
      <c r="E21" s="29"/>
      <c r="F21" s="29"/>
      <c r="G21" s="29"/>
      <c r="H21" s="31"/>
      <c r="I21" s="29">
        <f>2.6+2.5+2.5+3.2+3.4+3.4</f>
        <v>17.600000000000001</v>
      </c>
      <c r="J21" s="29">
        <f>2.3+2.1+2.3+3.8+3+3.7</f>
        <v>17.2</v>
      </c>
      <c r="K21" s="29">
        <f t="shared" si="4"/>
        <v>34.799999999999997</v>
      </c>
      <c r="L21" s="31">
        <v>3</v>
      </c>
      <c r="M21" s="29">
        <f>2.2+2.2+2.2+3.3+3.3+3.2</f>
        <v>16.399999999999999</v>
      </c>
      <c r="N21" s="29">
        <f>2.5+2.4+2.4+3.5+3.4+3.4</f>
        <v>17.600000000000001</v>
      </c>
      <c r="O21" s="29">
        <f t="shared" si="3"/>
        <v>34</v>
      </c>
      <c r="P21" s="31">
        <v>3</v>
      </c>
      <c r="Q21" s="32">
        <f t="shared" si="2"/>
        <v>6</v>
      </c>
    </row>
    <row r="22" spans="1:17" x14ac:dyDescent="0.25">
      <c r="A22" s="28">
        <v>17</v>
      </c>
      <c r="B22" s="30" t="s">
        <v>536</v>
      </c>
      <c r="C22" s="28" t="s">
        <v>67</v>
      </c>
      <c r="D22" s="29"/>
      <c r="E22" s="29"/>
      <c r="F22" s="29"/>
      <c r="G22" s="29"/>
      <c r="H22" s="31"/>
      <c r="I22" s="29">
        <f>2.5+2.5+2.5+3.1+3.1+3.1</f>
        <v>16.8</v>
      </c>
      <c r="J22" s="29">
        <f>2.6+2.5+2.5+4.2+3.9</f>
        <v>15.700000000000001</v>
      </c>
      <c r="K22" s="29">
        <f t="shared" si="4"/>
        <v>32.5</v>
      </c>
      <c r="L22" s="31">
        <v>3</v>
      </c>
      <c r="M22" s="29">
        <f>2.1+2.1+2.1+3.2+3.1+3.1</f>
        <v>15.7</v>
      </c>
      <c r="N22" s="29">
        <f>2.5+2.5+2.5+3.5+3.5+3.5</f>
        <v>18</v>
      </c>
      <c r="O22" s="29">
        <f t="shared" si="3"/>
        <v>33.700000000000003</v>
      </c>
      <c r="P22" s="31">
        <v>3</v>
      </c>
      <c r="Q22" s="32">
        <f t="shared" si="2"/>
        <v>6</v>
      </c>
    </row>
    <row r="23" spans="1:17" x14ac:dyDescent="0.25">
      <c r="A23" s="28">
        <v>18</v>
      </c>
      <c r="B23" s="30" t="s">
        <v>534</v>
      </c>
      <c r="C23" s="28" t="s">
        <v>12</v>
      </c>
      <c r="D23" s="29"/>
      <c r="E23" s="29"/>
      <c r="F23" s="29"/>
      <c r="G23" s="29"/>
      <c r="H23" s="31"/>
      <c r="I23" s="29">
        <f>2.5+2.5+2.5+3.4+3.3+3.5</f>
        <v>17.7</v>
      </c>
      <c r="J23" s="29">
        <f>2.2+2.2+2.4+3.7+3.6+3.8</f>
        <v>17.899999999999999</v>
      </c>
      <c r="K23" s="29">
        <f t="shared" si="4"/>
        <v>35.599999999999994</v>
      </c>
      <c r="L23" s="31">
        <v>3</v>
      </c>
      <c r="M23" s="29">
        <f>2.4+2.3+2.2+3.5+3.4+3.3</f>
        <v>17.099999999999998</v>
      </c>
      <c r="N23" s="29">
        <f>2.2+2.3+2.2+3.2+3.2</f>
        <v>13.100000000000001</v>
      </c>
      <c r="O23" s="29">
        <f t="shared" si="3"/>
        <v>30.2</v>
      </c>
      <c r="P23" s="31">
        <v>3</v>
      </c>
      <c r="Q23" s="32">
        <f t="shared" si="2"/>
        <v>6</v>
      </c>
    </row>
    <row r="24" spans="1:17" x14ac:dyDescent="0.25">
      <c r="A24" s="28">
        <v>19</v>
      </c>
      <c r="B24" s="30" t="s">
        <v>716</v>
      </c>
      <c r="C24" s="28" t="s">
        <v>698</v>
      </c>
      <c r="D24" s="29"/>
      <c r="E24" s="29"/>
      <c r="F24" s="29"/>
      <c r="G24" s="29"/>
      <c r="H24" s="31"/>
      <c r="I24" s="29"/>
      <c r="J24" s="29"/>
      <c r="K24" s="29"/>
      <c r="L24" s="31"/>
      <c r="M24" s="29">
        <f>2.5+2.5+2.5+3.5+3.5+3.5</f>
        <v>18</v>
      </c>
      <c r="N24" s="29">
        <f>2.6+2.6+2.5+3.6+3.6+3.5</f>
        <v>18.399999999999999</v>
      </c>
      <c r="O24" s="29">
        <f t="shared" si="3"/>
        <v>36.4</v>
      </c>
      <c r="P24" s="31">
        <v>3</v>
      </c>
      <c r="Q24" s="32">
        <f t="shared" si="2"/>
        <v>3</v>
      </c>
    </row>
    <row r="25" spans="1:17" x14ac:dyDescent="0.25">
      <c r="A25" s="28">
        <v>20</v>
      </c>
      <c r="B25" s="30" t="s">
        <v>718</v>
      </c>
      <c r="C25" s="28" t="s">
        <v>660</v>
      </c>
      <c r="D25" s="29"/>
      <c r="E25" s="29"/>
      <c r="F25" s="29"/>
      <c r="G25" s="29"/>
      <c r="H25" s="31"/>
      <c r="I25" s="29"/>
      <c r="J25" s="29"/>
      <c r="K25" s="29"/>
      <c r="L25" s="31"/>
      <c r="M25" s="29">
        <f>2.5+2.4+2.3+3.5+3.4+3.4</f>
        <v>17.5</v>
      </c>
      <c r="N25" s="29">
        <f>2.5+2.6+2.5+3.5+3.6+3.6</f>
        <v>18.3</v>
      </c>
      <c r="O25" s="29">
        <f t="shared" si="3"/>
        <v>35.799999999999997</v>
      </c>
      <c r="P25" s="31">
        <v>3</v>
      </c>
      <c r="Q25" s="32">
        <f t="shared" si="2"/>
        <v>3</v>
      </c>
    </row>
    <row r="26" spans="1:17" x14ac:dyDescent="0.25">
      <c r="A26" s="28">
        <v>21</v>
      </c>
      <c r="B26" s="30" t="s">
        <v>501</v>
      </c>
      <c r="C26" s="28" t="s">
        <v>444</v>
      </c>
      <c r="D26" s="29"/>
      <c r="E26" s="29"/>
      <c r="F26" s="29"/>
      <c r="G26" s="29"/>
      <c r="H26" s="31"/>
      <c r="I26" s="29"/>
      <c r="J26" s="29"/>
      <c r="K26" s="29"/>
      <c r="L26" s="31"/>
      <c r="M26" s="29">
        <f>2.5+2.3+2.2+3.5+3.2+3.3</f>
        <v>17</v>
      </c>
      <c r="N26" s="29">
        <f>2.5+2.5+2.5+3.5+3.6+3.5</f>
        <v>18.100000000000001</v>
      </c>
      <c r="O26" s="29">
        <f t="shared" si="3"/>
        <v>35.1</v>
      </c>
      <c r="P26" s="31">
        <v>3</v>
      </c>
      <c r="Q26" s="32">
        <f t="shared" si="2"/>
        <v>3</v>
      </c>
    </row>
    <row r="27" spans="1:17" x14ac:dyDescent="0.25">
      <c r="A27" s="28">
        <v>22</v>
      </c>
      <c r="B27" s="30" t="s">
        <v>715</v>
      </c>
      <c r="C27" s="28" t="s">
        <v>698</v>
      </c>
      <c r="D27" s="29"/>
      <c r="E27" s="29"/>
      <c r="F27" s="29"/>
      <c r="G27" s="29"/>
      <c r="H27" s="31"/>
      <c r="I27" s="29"/>
      <c r="J27" s="29"/>
      <c r="K27" s="29"/>
      <c r="L27" s="31"/>
      <c r="M27" s="29">
        <f>2.4+2.4+2.3+3.3+3.4+3.3</f>
        <v>17.099999999999998</v>
      </c>
      <c r="N27" s="29">
        <f>2.4+2.5+2.4+3.5+3.5+3.5</f>
        <v>17.8</v>
      </c>
      <c r="O27" s="29">
        <f t="shared" si="3"/>
        <v>34.9</v>
      </c>
      <c r="P27" s="31">
        <v>3</v>
      </c>
      <c r="Q27" s="32">
        <f t="shared" si="2"/>
        <v>3</v>
      </c>
    </row>
    <row r="28" spans="1:17" x14ac:dyDescent="0.25">
      <c r="A28" s="28">
        <v>23</v>
      </c>
      <c r="B28" s="30" t="s">
        <v>717</v>
      </c>
      <c r="C28" s="28" t="s">
        <v>660</v>
      </c>
      <c r="D28" s="29"/>
      <c r="E28" s="29"/>
      <c r="F28" s="29"/>
      <c r="G28" s="29"/>
      <c r="H28" s="31"/>
      <c r="I28" s="29"/>
      <c r="J28" s="29"/>
      <c r="K28" s="29"/>
      <c r="L28" s="31"/>
      <c r="M28" s="29">
        <f>2.2+2.2+2.2+3.2+3.3+3.3</f>
        <v>16.400000000000002</v>
      </c>
      <c r="N28" s="29">
        <f>2.4+2.5+2.5+3.5+3.5+3.5</f>
        <v>17.899999999999999</v>
      </c>
      <c r="O28" s="29">
        <f t="shared" si="3"/>
        <v>34.299999999999997</v>
      </c>
      <c r="P28" s="31">
        <v>3</v>
      </c>
      <c r="Q28" s="32">
        <f t="shared" si="2"/>
        <v>3</v>
      </c>
    </row>
    <row r="29" spans="1:17" x14ac:dyDescent="0.25">
      <c r="A29" s="28">
        <v>24</v>
      </c>
      <c r="B29" s="30" t="s">
        <v>719</v>
      </c>
      <c r="C29" s="28" t="s">
        <v>660</v>
      </c>
      <c r="D29" s="29"/>
      <c r="E29" s="29"/>
      <c r="F29" s="29"/>
      <c r="G29" s="29"/>
      <c r="H29" s="31"/>
      <c r="I29" s="29"/>
      <c r="J29" s="29"/>
      <c r="K29" s="29"/>
      <c r="L29" s="31"/>
      <c r="M29" s="29">
        <f>2.1+2.1+2.1+3.1+3.1+3.1</f>
        <v>15.6</v>
      </c>
      <c r="N29" s="29">
        <f>2.4+2.4+2.4+3.5+3.4+3.4</f>
        <v>17.5</v>
      </c>
      <c r="O29" s="29">
        <f t="shared" si="3"/>
        <v>33.1</v>
      </c>
      <c r="P29" s="31">
        <v>3</v>
      </c>
      <c r="Q29" s="32">
        <f t="shared" si="2"/>
        <v>3</v>
      </c>
    </row>
    <row r="30" spans="1:17" x14ac:dyDescent="0.25">
      <c r="A30" s="28">
        <v>25</v>
      </c>
      <c r="B30" s="30" t="s">
        <v>527</v>
      </c>
      <c r="C30" s="28" t="s">
        <v>29</v>
      </c>
      <c r="D30" s="29"/>
      <c r="E30" s="29"/>
      <c r="F30" s="29"/>
      <c r="G30" s="29"/>
      <c r="H30" s="31"/>
      <c r="I30" s="29">
        <f>2.6+2.5+2.5+3.4+3.3+3.4</f>
        <v>17.7</v>
      </c>
      <c r="J30" s="29">
        <f>2.3+2.4+2.5+3.4+4.3+3.8</f>
        <v>18.7</v>
      </c>
      <c r="K30" s="29">
        <f>SUM(I30:J30)</f>
        <v>36.4</v>
      </c>
      <c r="L30" s="31">
        <v>3</v>
      </c>
      <c r="M30" s="29"/>
      <c r="N30" s="29"/>
      <c r="O30" s="29"/>
      <c r="P30" s="31"/>
      <c r="Q30" s="32">
        <f t="shared" si="2"/>
        <v>3</v>
      </c>
    </row>
    <row r="31" spans="1:17" x14ac:dyDescent="0.25">
      <c r="A31" s="28">
        <v>26</v>
      </c>
      <c r="B31" s="30" t="s">
        <v>528</v>
      </c>
      <c r="C31" s="28" t="s">
        <v>397</v>
      </c>
      <c r="D31" s="29"/>
      <c r="E31" s="29"/>
      <c r="F31" s="29"/>
      <c r="G31" s="29"/>
      <c r="H31" s="31"/>
      <c r="I31" s="29">
        <f>2.5+2.4+2.5+3.1+3.1+3.3</f>
        <v>16.899999999999999</v>
      </c>
      <c r="J31" s="29">
        <f>2.4+2.4+2.5+3.9+3.3+4</f>
        <v>18.5</v>
      </c>
      <c r="K31" s="29">
        <f>SUM(I31:J31)</f>
        <v>35.4</v>
      </c>
      <c r="L31" s="31">
        <v>3</v>
      </c>
      <c r="M31" s="29"/>
      <c r="N31" s="29"/>
      <c r="O31" s="29"/>
      <c r="P31" s="31"/>
      <c r="Q31" s="32">
        <f t="shared" si="2"/>
        <v>3</v>
      </c>
    </row>
    <row r="32" spans="1:17" x14ac:dyDescent="0.25">
      <c r="A32" s="28">
        <v>27</v>
      </c>
      <c r="B32" s="28" t="s">
        <v>231</v>
      </c>
      <c r="C32" s="28" t="s">
        <v>29</v>
      </c>
      <c r="D32" s="29">
        <v>20.6</v>
      </c>
      <c r="E32" s="29">
        <v>19.600000000000001</v>
      </c>
      <c r="F32" s="29">
        <v>18.8</v>
      </c>
      <c r="G32" s="29">
        <f>SUM(D32:F32)</f>
        <v>59</v>
      </c>
      <c r="H32" s="31">
        <v>3</v>
      </c>
      <c r="I32" s="29"/>
      <c r="J32" s="29"/>
      <c r="K32" s="29"/>
      <c r="L32" s="31"/>
      <c r="M32" s="29"/>
      <c r="N32" s="29"/>
      <c r="O32" s="29"/>
      <c r="P32" s="31"/>
      <c r="Q32" s="32">
        <f t="shared" si="2"/>
        <v>3</v>
      </c>
    </row>
    <row r="33" spans="1:17" x14ac:dyDescent="0.25">
      <c r="A33" s="28">
        <v>28</v>
      </c>
      <c r="B33" s="28" t="s">
        <v>232</v>
      </c>
      <c r="C33" s="28" t="s">
        <v>12</v>
      </c>
      <c r="D33" s="29">
        <v>20.6</v>
      </c>
      <c r="E33" s="29">
        <v>19.600000000000001</v>
      </c>
      <c r="F33" s="29">
        <v>17</v>
      </c>
      <c r="G33" s="29">
        <f>SUM(D33:F33)</f>
        <v>57.2</v>
      </c>
      <c r="H33" s="31">
        <v>3</v>
      </c>
      <c r="I33" s="29"/>
      <c r="J33" s="29"/>
      <c r="K33" s="29"/>
      <c r="L33" s="31"/>
      <c r="M33" s="29"/>
      <c r="N33" s="29"/>
      <c r="O33" s="29"/>
      <c r="P33" s="31"/>
      <c r="Q33" s="32">
        <f t="shared" si="2"/>
        <v>3</v>
      </c>
    </row>
    <row r="34" spans="1:17" x14ac:dyDescent="0.25">
      <c r="A34" s="28">
        <v>29</v>
      </c>
      <c r="B34" s="30" t="s">
        <v>526</v>
      </c>
      <c r="C34" s="28" t="s">
        <v>5</v>
      </c>
      <c r="D34" s="29"/>
      <c r="E34" s="29"/>
      <c r="F34" s="29"/>
      <c r="G34" s="29"/>
      <c r="H34" s="31"/>
      <c r="I34" s="29"/>
      <c r="J34" s="29"/>
      <c r="K34" s="29"/>
      <c r="L34" s="31"/>
      <c r="M34" s="29"/>
      <c r="N34" s="29"/>
      <c r="O34" s="29"/>
      <c r="P34" s="31"/>
      <c r="Q34" s="32">
        <f t="shared" si="2"/>
        <v>0</v>
      </c>
    </row>
    <row r="35" spans="1:17" x14ac:dyDescent="0.25">
      <c r="A35" s="28">
        <v>30</v>
      </c>
      <c r="B35" s="30" t="s">
        <v>720</v>
      </c>
      <c r="C35" s="28" t="s">
        <v>670</v>
      </c>
      <c r="D35" s="29"/>
      <c r="E35" s="29"/>
      <c r="F35" s="29"/>
      <c r="G35" s="29"/>
      <c r="H35" s="31"/>
      <c r="I35" s="29"/>
      <c r="J35" s="29"/>
      <c r="K35" s="29"/>
      <c r="L35" s="31"/>
      <c r="M35" s="29"/>
      <c r="N35" s="29"/>
      <c r="O35" s="29"/>
      <c r="P35" s="31"/>
      <c r="Q35" s="32">
        <f t="shared" si="2"/>
        <v>0</v>
      </c>
    </row>
    <row r="36" spans="1:17" x14ac:dyDescent="0.25">
      <c r="B36" s="2"/>
    </row>
  </sheetData>
  <sortState ref="B4:Q33">
    <sortCondition descending="1" ref="Q4:Q33"/>
  </sortState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25" customWidth="1"/>
    <col min="4" max="4" width="6" customWidth="1"/>
    <col min="5" max="5" width="5.85546875" customWidth="1"/>
    <col min="6" max="6" width="5.5703125" customWidth="1"/>
    <col min="7" max="7" width="11.85546875" bestFit="1" customWidth="1"/>
    <col min="8" max="8" width="17.5703125" customWidth="1"/>
    <col min="9" max="9" width="7.28515625" customWidth="1"/>
    <col min="10" max="10" width="6.28515625" customWidth="1"/>
    <col min="11" max="11" width="13.140625" customWidth="1"/>
    <col min="12" max="12" width="18" customWidth="1"/>
    <col min="13" max="13" width="7.85546875" customWidth="1"/>
    <col min="14" max="14" width="8" customWidth="1"/>
    <col min="16" max="16" width="18.5703125" customWidth="1"/>
    <col min="17" max="17" width="23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259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251</v>
      </c>
      <c r="C6" s="28" t="s">
        <v>9</v>
      </c>
      <c r="D6" s="29">
        <v>23.7</v>
      </c>
      <c r="E6" s="29">
        <v>22.1</v>
      </c>
      <c r="F6" s="29">
        <v>22.6</v>
      </c>
      <c r="G6" s="29">
        <f>SUM(D6:F6)</f>
        <v>68.400000000000006</v>
      </c>
      <c r="H6" s="31">
        <v>18</v>
      </c>
      <c r="I6" s="29">
        <v>24.1</v>
      </c>
      <c r="J6" s="29">
        <v>22.6</v>
      </c>
      <c r="K6" s="29">
        <f>SUM(I6:J6)</f>
        <v>46.7</v>
      </c>
      <c r="L6" s="31">
        <v>23</v>
      </c>
      <c r="M6" s="29">
        <f>2.8+2.8+2.9+3.8+3.8+3.9</f>
        <v>20</v>
      </c>
      <c r="N6" s="29">
        <f>3.1+4+4+4.2+4+3.9</f>
        <v>23.2</v>
      </c>
      <c r="O6" s="29">
        <f t="shared" ref="O6:O11" si="0">M6+N6</f>
        <v>43.2</v>
      </c>
      <c r="P6" s="31">
        <v>23</v>
      </c>
      <c r="Q6" s="32">
        <f t="shared" ref="Q6:Q21" si="1">H6+L6+P6</f>
        <v>64</v>
      </c>
    </row>
    <row r="7" spans="1:17" x14ac:dyDescent="0.25">
      <c r="A7" s="28">
        <v>2</v>
      </c>
      <c r="B7" s="28" t="s">
        <v>258</v>
      </c>
      <c r="C7" s="28" t="s">
        <v>57</v>
      </c>
      <c r="D7" s="29">
        <v>23.9</v>
      </c>
      <c r="E7" s="29">
        <v>24.6</v>
      </c>
      <c r="F7" s="29">
        <v>24.3</v>
      </c>
      <c r="G7" s="29">
        <f>SUM(D7:F7)</f>
        <v>72.8</v>
      </c>
      <c r="H7" s="31">
        <v>23</v>
      </c>
      <c r="I7" s="29"/>
      <c r="J7" s="29"/>
      <c r="K7" s="29"/>
      <c r="L7" s="31"/>
      <c r="M7" s="29">
        <f>2.8+2.8+2.8+3.7+3.8+3.7</f>
        <v>19.599999999999998</v>
      </c>
      <c r="N7" s="29">
        <f>3.2+3.1+3.2+4.5+4.2+4.3</f>
        <v>22.5</v>
      </c>
      <c r="O7" s="29">
        <f t="shared" si="0"/>
        <v>42.099999999999994</v>
      </c>
      <c r="P7" s="31">
        <v>18</v>
      </c>
      <c r="Q7" s="32">
        <f t="shared" si="1"/>
        <v>41</v>
      </c>
    </row>
    <row r="8" spans="1:17" x14ac:dyDescent="0.25">
      <c r="A8" s="28">
        <v>3</v>
      </c>
      <c r="B8" s="30" t="s">
        <v>541</v>
      </c>
      <c r="C8" s="28" t="s">
        <v>397</v>
      </c>
      <c r="D8" s="29"/>
      <c r="E8" s="29"/>
      <c r="F8" s="29"/>
      <c r="G8" s="29"/>
      <c r="H8" s="31"/>
      <c r="I8" s="29">
        <f>2.7+3.3+3.3+4.7+4.6+4.9</f>
        <v>23.5</v>
      </c>
      <c r="J8" s="29">
        <f>2.8+2.8+2.8+4.9+4.8+4.8</f>
        <v>22.9</v>
      </c>
      <c r="K8" s="29">
        <f>SUM(I8:J8)</f>
        <v>46.4</v>
      </c>
      <c r="L8" s="31">
        <v>18</v>
      </c>
      <c r="M8" s="29">
        <f>2.6+2.6+2.6+3.7+3.7+3.7</f>
        <v>18.899999999999999</v>
      </c>
      <c r="N8" s="29">
        <f>2.9+3+2.9+3.9+4.1+3.9</f>
        <v>20.7</v>
      </c>
      <c r="O8" s="29">
        <f t="shared" si="0"/>
        <v>39.599999999999994</v>
      </c>
      <c r="P8" s="31">
        <v>13</v>
      </c>
      <c r="Q8" s="32">
        <f t="shared" si="1"/>
        <v>31</v>
      </c>
    </row>
    <row r="9" spans="1:17" x14ac:dyDescent="0.25">
      <c r="A9" s="28">
        <v>4</v>
      </c>
      <c r="B9" s="28" t="s">
        <v>254</v>
      </c>
      <c r="C9" s="28" t="s">
        <v>9</v>
      </c>
      <c r="D9" s="29">
        <v>21.3</v>
      </c>
      <c r="E9" s="29">
        <v>23.2</v>
      </c>
      <c r="F9" s="29">
        <v>17.5</v>
      </c>
      <c r="G9" s="29">
        <f t="shared" ref="G9:G14" si="2">SUM(D9:F9)</f>
        <v>62</v>
      </c>
      <c r="H9" s="31">
        <v>3</v>
      </c>
      <c r="I9" s="29">
        <f>2.5+2.9+3.3+4.5+4.6+4.7</f>
        <v>22.499999999999996</v>
      </c>
      <c r="J9" s="29">
        <f>2.6+2.5+2.5+4.6+4.4+4.4</f>
        <v>21</v>
      </c>
      <c r="K9" s="29">
        <f>SUM(I9:J9)</f>
        <v>43.5</v>
      </c>
      <c r="L9" s="31">
        <v>13</v>
      </c>
      <c r="M9" s="29">
        <f>2.6+2.6+2.6+3.6+3.6+3.6</f>
        <v>18.600000000000001</v>
      </c>
      <c r="N9" s="29">
        <f>2.7+2.7+2.7+3.7+3.7+3.8</f>
        <v>19.3</v>
      </c>
      <c r="O9" s="29">
        <f t="shared" si="0"/>
        <v>37.900000000000006</v>
      </c>
      <c r="P9" s="31">
        <v>13</v>
      </c>
      <c r="Q9" s="32">
        <f t="shared" si="1"/>
        <v>29</v>
      </c>
    </row>
    <row r="10" spans="1:17" x14ac:dyDescent="0.25">
      <c r="A10" s="28">
        <v>5</v>
      </c>
      <c r="B10" s="28" t="s">
        <v>257</v>
      </c>
      <c r="C10" s="28" t="s">
        <v>6</v>
      </c>
      <c r="D10" s="29">
        <v>21.5</v>
      </c>
      <c r="E10" s="29">
        <v>20.2</v>
      </c>
      <c r="F10" s="29">
        <v>20.2</v>
      </c>
      <c r="G10" s="29">
        <f t="shared" si="2"/>
        <v>61.900000000000006</v>
      </c>
      <c r="H10" s="31">
        <v>3</v>
      </c>
      <c r="I10" s="29">
        <f>2.5+2.6+2.7+4.4+4.9+4.2</f>
        <v>21.3</v>
      </c>
      <c r="J10" s="29">
        <f>2.6+2.6+2.4+4.4+4.5+4.5</f>
        <v>21</v>
      </c>
      <c r="K10" s="29">
        <f>SUM(I10:J10)</f>
        <v>42.3</v>
      </c>
      <c r="L10" s="31">
        <v>13</v>
      </c>
      <c r="M10" s="29">
        <f>2.5+2.5+2.5+3.5+3.6+3.6</f>
        <v>18.2</v>
      </c>
      <c r="N10" s="29">
        <f>2.6+2.6+2.7+3.7+3.7+3.7</f>
        <v>19</v>
      </c>
      <c r="O10" s="29">
        <f t="shared" si="0"/>
        <v>37.200000000000003</v>
      </c>
      <c r="P10" s="31">
        <v>3</v>
      </c>
      <c r="Q10" s="32">
        <f t="shared" si="1"/>
        <v>19</v>
      </c>
    </row>
    <row r="11" spans="1:17" x14ac:dyDescent="0.25">
      <c r="A11" s="28">
        <v>6</v>
      </c>
      <c r="B11" s="28" t="s">
        <v>252</v>
      </c>
      <c r="C11" s="28" t="s">
        <v>72</v>
      </c>
      <c r="D11" s="29">
        <v>22.1</v>
      </c>
      <c r="E11" s="29">
        <v>20</v>
      </c>
      <c r="F11" s="29">
        <v>21.5</v>
      </c>
      <c r="G11" s="29">
        <f t="shared" si="2"/>
        <v>63.6</v>
      </c>
      <c r="H11" s="31">
        <v>13</v>
      </c>
      <c r="I11" s="29"/>
      <c r="J11" s="29"/>
      <c r="K11" s="29"/>
      <c r="L11" s="31"/>
      <c r="M11" s="29">
        <f>2.5+2.5+2.5+3.5+3.5+3.5</f>
        <v>18</v>
      </c>
      <c r="N11" s="29">
        <f>2.4+2.6+2.5+3.5+3.5+3.4</f>
        <v>17.899999999999999</v>
      </c>
      <c r="O11" s="29">
        <f t="shared" si="0"/>
        <v>35.9</v>
      </c>
      <c r="P11" s="31">
        <v>3</v>
      </c>
      <c r="Q11" s="32">
        <f t="shared" si="1"/>
        <v>16</v>
      </c>
    </row>
    <row r="12" spans="1:17" x14ac:dyDescent="0.25">
      <c r="A12" s="28">
        <v>7</v>
      </c>
      <c r="B12" s="28" t="s">
        <v>253</v>
      </c>
      <c r="C12" s="28" t="s">
        <v>72</v>
      </c>
      <c r="D12" s="29">
        <v>23</v>
      </c>
      <c r="E12" s="29">
        <v>22.1</v>
      </c>
      <c r="F12" s="29">
        <v>20.5</v>
      </c>
      <c r="G12" s="29">
        <f t="shared" si="2"/>
        <v>65.599999999999994</v>
      </c>
      <c r="H12" s="31">
        <v>13</v>
      </c>
      <c r="I12" s="29"/>
      <c r="J12" s="29"/>
      <c r="K12" s="29"/>
      <c r="L12" s="31"/>
      <c r="M12" s="29"/>
      <c r="N12" s="29"/>
      <c r="O12" s="29"/>
      <c r="P12" s="31"/>
      <c r="Q12" s="32">
        <f t="shared" si="1"/>
        <v>13</v>
      </c>
    </row>
    <row r="13" spans="1:17" x14ac:dyDescent="0.25">
      <c r="A13" s="28">
        <v>8</v>
      </c>
      <c r="B13" s="28" t="s">
        <v>249</v>
      </c>
      <c r="C13" s="28" t="s">
        <v>29</v>
      </c>
      <c r="D13" s="29">
        <v>22.8</v>
      </c>
      <c r="E13" s="29">
        <v>19.600000000000001</v>
      </c>
      <c r="F13" s="29">
        <v>20.6</v>
      </c>
      <c r="G13" s="29">
        <f t="shared" si="2"/>
        <v>63.000000000000007</v>
      </c>
      <c r="H13" s="31">
        <v>3</v>
      </c>
      <c r="I13" s="29">
        <f>2.6+2.8+2.8+4.6+4.5+4.2</f>
        <v>21.499999999999996</v>
      </c>
      <c r="J13" s="29">
        <f>2.4+2.4+2.3+4.5+4.3+4.4</f>
        <v>20.299999999999997</v>
      </c>
      <c r="K13" s="29">
        <f>SUM(I13:J13)</f>
        <v>41.8</v>
      </c>
      <c r="L13" s="31">
        <v>3</v>
      </c>
      <c r="M13" s="29">
        <f>2.6+2.6+2.6+3.5+3.6+3.5</f>
        <v>18.399999999999999</v>
      </c>
      <c r="N13" s="29">
        <f>2.6+2.5+2.5+3.7+3.5+3.6</f>
        <v>18.400000000000002</v>
      </c>
      <c r="O13" s="29">
        <f t="shared" ref="O13:O19" si="3">M13+N13</f>
        <v>36.799999999999997</v>
      </c>
      <c r="P13" s="31">
        <v>3</v>
      </c>
      <c r="Q13" s="32">
        <f t="shared" si="1"/>
        <v>9</v>
      </c>
    </row>
    <row r="14" spans="1:17" x14ac:dyDescent="0.25">
      <c r="A14" s="28">
        <v>9</v>
      </c>
      <c r="B14" s="28" t="s">
        <v>250</v>
      </c>
      <c r="C14" s="28" t="s">
        <v>9</v>
      </c>
      <c r="D14" s="29">
        <v>21.6</v>
      </c>
      <c r="E14" s="29">
        <v>20.6</v>
      </c>
      <c r="F14" s="29">
        <v>19.600000000000001</v>
      </c>
      <c r="G14" s="29">
        <f t="shared" si="2"/>
        <v>61.800000000000004</v>
      </c>
      <c r="H14" s="31">
        <v>3</v>
      </c>
      <c r="I14" s="29">
        <f>2.6+2.6+2.7+4.3+4.4+4.3</f>
        <v>20.900000000000002</v>
      </c>
      <c r="J14" s="29">
        <f>2.4+2.5+2.4+4.5+4.5+4.4</f>
        <v>20.700000000000003</v>
      </c>
      <c r="K14" s="29">
        <f>SUM(I14:J14)</f>
        <v>41.600000000000009</v>
      </c>
      <c r="L14" s="31">
        <v>3</v>
      </c>
      <c r="M14" s="29">
        <f>2.5+2.5+2.5+3.6+3.6+3.6</f>
        <v>18.3</v>
      </c>
      <c r="N14" s="29">
        <f>2.4+2.5+2.6+3.5+3.5+3.6</f>
        <v>18.100000000000001</v>
      </c>
      <c r="O14" s="29">
        <f t="shared" si="3"/>
        <v>36.400000000000006</v>
      </c>
      <c r="P14" s="31">
        <v>3</v>
      </c>
      <c r="Q14" s="32">
        <f t="shared" si="1"/>
        <v>9</v>
      </c>
    </row>
    <row r="15" spans="1:17" x14ac:dyDescent="0.25">
      <c r="A15" s="28">
        <v>10</v>
      </c>
      <c r="B15" s="30" t="s">
        <v>540</v>
      </c>
      <c r="C15" s="28" t="s">
        <v>82</v>
      </c>
      <c r="D15" s="29"/>
      <c r="E15" s="29"/>
      <c r="F15" s="29"/>
      <c r="G15" s="29"/>
      <c r="H15" s="31"/>
      <c r="I15" s="29">
        <f>2.6+2.5+2.6+4.5+4.3+4.2</f>
        <v>20.7</v>
      </c>
      <c r="J15" s="29">
        <f>2.4+2.3+2.3+4.4+4.3+4.4</f>
        <v>20.100000000000001</v>
      </c>
      <c r="K15" s="29">
        <f>SUM(I15:J15)</f>
        <v>40.799999999999997</v>
      </c>
      <c r="L15" s="31">
        <v>3</v>
      </c>
      <c r="M15" s="29">
        <f>2.5+2.5+2.5+3.5+3.5+3.5</f>
        <v>18</v>
      </c>
      <c r="N15" s="29">
        <f>2.6+2.5+2.6+3.6+3.4+3.6</f>
        <v>18.3</v>
      </c>
      <c r="O15" s="29">
        <f t="shared" si="3"/>
        <v>36.299999999999997</v>
      </c>
      <c r="P15" s="31">
        <v>3</v>
      </c>
      <c r="Q15" s="32">
        <f t="shared" si="1"/>
        <v>6</v>
      </c>
    </row>
    <row r="16" spans="1:17" x14ac:dyDescent="0.25">
      <c r="A16" s="28">
        <v>11</v>
      </c>
      <c r="B16" s="30" t="s">
        <v>543</v>
      </c>
      <c r="C16" s="28" t="s">
        <v>82</v>
      </c>
      <c r="D16" s="29"/>
      <c r="E16" s="29"/>
      <c r="F16" s="29"/>
      <c r="G16" s="29"/>
      <c r="H16" s="31"/>
      <c r="I16" s="29">
        <f>2.5+2.4+2.6+4.5+4.4+4.2</f>
        <v>20.599999999999998</v>
      </c>
      <c r="J16" s="29">
        <f>2.5+2.5+2.5+4.6+4.6+4.6</f>
        <v>21.299999999999997</v>
      </c>
      <c r="K16" s="29">
        <f>SUM(I16:J16)</f>
        <v>41.899999999999991</v>
      </c>
      <c r="L16" s="31">
        <v>3</v>
      </c>
      <c r="M16" s="29">
        <f>2.4+2.4+2.4+3.5+3.5+3.5</f>
        <v>17.7</v>
      </c>
      <c r="N16" s="29">
        <f>2.4+2.5+2.5+3.6+3.4+3.6</f>
        <v>18</v>
      </c>
      <c r="O16" s="29">
        <f t="shared" si="3"/>
        <v>35.700000000000003</v>
      </c>
      <c r="P16" s="31">
        <v>3</v>
      </c>
      <c r="Q16" s="32">
        <f t="shared" si="1"/>
        <v>6</v>
      </c>
    </row>
    <row r="17" spans="1:17" x14ac:dyDescent="0.25">
      <c r="A17" s="28">
        <v>12</v>
      </c>
      <c r="B17" s="30" t="s">
        <v>542</v>
      </c>
      <c r="C17" s="28" t="s">
        <v>493</v>
      </c>
      <c r="D17" s="29"/>
      <c r="E17" s="29"/>
      <c r="F17" s="29"/>
      <c r="G17" s="29"/>
      <c r="H17" s="31"/>
      <c r="I17" s="29">
        <f>2.4+2.1+2.4+4.4+3.9+3.8</f>
        <v>19</v>
      </c>
      <c r="J17" s="29">
        <f>2.2+2.1+2.3+4.3+4.3+4.3</f>
        <v>19.5</v>
      </c>
      <c r="K17" s="29">
        <f>SUM(I17:J17)</f>
        <v>38.5</v>
      </c>
      <c r="L17" s="31">
        <v>3</v>
      </c>
      <c r="M17" s="29">
        <f>2.5+2.4+2.5+3.4+3.5+3.5</f>
        <v>17.8</v>
      </c>
      <c r="N17" s="29">
        <f>2.4+2.3+2.3+3.5+3.5+3.4</f>
        <v>17.399999999999999</v>
      </c>
      <c r="O17" s="29">
        <f t="shared" si="3"/>
        <v>35.200000000000003</v>
      </c>
      <c r="P17" s="31">
        <v>3</v>
      </c>
      <c r="Q17" s="32">
        <f t="shared" si="1"/>
        <v>6</v>
      </c>
    </row>
    <row r="18" spans="1:17" x14ac:dyDescent="0.25">
      <c r="A18" s="28">
        <v>13</v>
      </c>
      <c r="B18" s="30" t="s">
        <v>722</v>
      </c>
      <c r="C18" s="28" t="s">
        <v>9</v>
      </c>
      <c r="D18" s="29"/>
      <c r="E18" s="29"/>
      <c r="F18" s="29"/>
      <c r="G18" s="29"/>
      <c r="H18" s="31"/>
      <c r="I18" s="29"/>
      <c r="J18" s="29"/>
      <c r="K18" s="29"/>
      <c r="L18" s="31"/>
      <c r="M18" s="29">
        <f>2.5+2.5+2.5+3.5+3.6+3.5</f>
        <v>18.100000000000001</v>
      </c>
      <c r="N18" s="29">
        <f>2.7+2.7+2.7+3.8+3.6+3.9</f>
        <v>19.400000000000002</v>
      </c>
      <c r="O18" s="29">
        <f t="shared" si="3"/>
        <v>37.5</v>
      </c>
      <c r="P18" s="31">
        <v>3</v>
      </c>
      <c r="Q18" s="32">
        <f t="shared" si="1"/>
        <v>3</v>
      </c>
    </row>
    <row r="19" spans="1:17" x14ac:dyDescent="0.25">
      <c r="A19" s="28">
        <v>14</v>
      </c>
      <c r="B19" s="30" t="s">
        <v>721</v>
      </c>
      <c r="C19" s="28" t="s">
        <v>12</v>
      </c>
      <c r="D19" s="29"/>
      <c r="E19" s="29"/>
      <c r="F19" s="29"/>
      <c r="G19" s="29"/>
      <c r="H19" s="31"/>
      <c r="I19" s="29"/>
      <c r="J19" s="29"/>
      <c r="K19" s="29"/>
      <c r="L19" s="31"/>
      <c r="M19" s="29">
        <f>2.4+2.4+2.4+3.4+3.4+3.4</f>
        <v>17.399999999999999</v>
      </c>
      <c r="N19" s="29">
        <f>2.3+2.2+2.2+3.4+3.1+3.2</f>
        <v>16.399999999999999</v>
      </c>
      <c r="O19" s="29">
        <f t="shared" si="3"/>
        <v>33.799999999999997</v>
      </c>
      <c r="P19" s="31">
        <v>3</v>
      </c>
      <c r="Q19" s="32">
        <f t="shared" si="1"/>
        <v>3</v>
      </c>
    </row>
    <row r="20" spans="1:17" x14ac:dyDescent="0.25">
      <c r="A20" s="28">
        <v>15</v>
      </c>
      <c r="B20" s="28" t="s">
        <v>255</v>
      </c>
      <c r="C20" s="28" t="s">
        <v>9</v>
      </c>
      <c r="D20" s="29">
        <v>22.2</v>
      </c>
      <c r="E20" s="29">
        <v>18.3</v>
      </c>
      <c r="F20" s="29">
        <v>21.8</v>
      </c>
      <c r="G20" s="29">
        <f>SUM(D20:F20)</f>
        <v>62.3</v>
      </c>
      <c r="H20" s="31">
        <v>3</v>
      </c>
      <c r="I20" s="29"/>
      <c r="J20" s="29"/>
      <c r="K20" s="29"/>
      <c r="L20" s="31"/>
      <c r="M20" s="29"/>
      <c r="N20" s="29"/>
      <c r="O20" s="29"/>
      <c r="P20" s="31"/>
      <c r="Q20" s="32">
        <f t="shared" si="1"/>
        <v>3</v>
      </c>
    </row>
    <row r="21" spans="1:17" x14ac:dyDescent="0.25">
      <c r="A21" s="28">
        <v>16</v>
      </c>
      <c r="B21" s="28" t="s">
        <v>256</v>
      </c>
      <c r="C21" s="28" t="s">
        <v>9</v>
      </c>
      <c r="D21" s="29">
        <v>22</v>
      </c>
      <c r="E21" s="29">
        <v>22.3</v>
      </c>
      <c r="F21" s="29">
        <v>16.3</v>
      </c>
      <c r="G21" s="29">
        <f>SUM(D21:F21)</f>
        <v>60.599999999999994</v>
      </c>
      <c r="H21" s="31">
        <v>3</v>
      </c>
      <c r="I21" s="29"/>
      <c r="J21" s="29"/>
      <c r="K21" s="29"/>
      <c r="L21" s="31"/>
      <c r="M21" s="29"/>
      <c r="N21" s="29"/>
      <c r="O21" s="29"/>
      <c r="P21" s="31"/>
      <c r="Q21" s="32">
        <f t="shared" si="1"/>
        <v>3</v>
      </c>
    </row>
  </sheetData>
  <sortState ref="B4:Q19">
    <sortCondition descending="1" ref="Q4:Q19"/>
  </sortState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B3" sqref="B3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18.85546875" style="4" customWidth="1"/>
    <col min="4" max="6" width="7.42578125" style="4" bestFit="1" customWidth="1"/>
    <col min="7" max="7" width="11.42578125" style="4"/>
    <col min="8" max="8" width="19.28515625" style="4" customWidth="1"/>
    <col min="9" max="10" width="8.28515625" style="4" customWidth="1"/>
    <col min="11" max="11" width="12.85546875" style="4" customWidth="1"/>
    <col min="12" max="12" width="18" style="4" customWidth="1"/>
    <col min="13" max="13" width="8.85546875" style="4" customWidth="1"/>
    <col min="14" max="14" width="8.7109375" style="4" customWidth="1"/>
    <col min="15" max="15" width="11.42578125" style="4"/>
    <col min="16" max="16" width="19.7109375" style="4" customWidth="1"/>
    <col min="17" max="17" width="24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3"/>
    </row>
    <row r="2" spans="1:17" x14ac:dyDescent="0.25">
      <c r="A2" s="38"/>
      <c r="B2" s="38"/>
      <c r="C2" s="38"/>
      <c r="D2" s="38"/>
      <c r="E2" s="38"/>
      <c r="F2" s="38"/>
      <c r="G2" s="38"/>
      <c r="H2" s="3"/>
    </row>
    <row r="3" spans="1:17" ht="15.75" x14ac:dyDescent="0.25">
      <c r="B3" s="43" t="s">
        <v>172</v>
      </c>
    </row>
    <row r="5" spans="1:17" x14ac:dyDescent="0.25">
      <c r="A5" s="22"/>
      <c r="B5" s="23" t="s">
        <v>0</v>
      </c>
      <c r="C5" s="23" t="s">
        <v>1</v>
      </c>
      <c r="D5" s="24" t="s">
        <v>788</v>
      </c>
      <c r="E5" s="24" t="s">
        <v>789</v>
      </c>
      <c r="F5" s="24" t="s">
        <v>790</v>
      </c>
      <c r="G5" s="24" t="s">
        <v>3</v>
      </c>
      <c r="H5" s="25" t="s">
        <v>791</v>
      </c>
      <c r="I5" s="24" t="s">
        <v>788</v>
      </c>
      <c r="J5" s="24" t="s">
        <v>789</v>
      </c>
      <c r="K5" s="24" t="s">
        <v>382</v>
      </c>
      <c r="L5" s="25" t="s">
        <v>792</v>
      </c>
      <c r="M5" s="24" t="s">
        <v>788</v>
      </c>
      <c r="N5" s="24" t="s">
        <v>789</v>
      </c>
      <c r="O5" s="24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162</v>
      </c>
      <c r="C6" s="12" t="s">
        <v>9</v>
      </c>
      <c r="D6" s="13">
        <v>17.899999999999999</v>
      </c>
      <c r="E6" s="13">
        <v>18.100000000000001</v>
      </c>
      <c r="F6" s="13">
        <v>16.7</v>
      </c>
      <c r="G6" s="13">
        <f>SUM(D6:F6)</f>
        <v>52.7</v>
      </c>
      <c r="H6" s="14">
        <v>18</v>
      </c>
      <c r="I6" s="13">
        <f>2.8+2.6+2.7+4.5+4.3+4.2</f>
        <v>21.1</v>
      </c>
      <c r="J6" s="13">
        <f>2.5+2.8+2.8+4.5+4.9+4.8</f>
        <v>22.3</v>
      </c>
      <c r="K6" s="13">
        <f>SUM(I6:J6)</f>
        <v>43.400000000000006</v>
      </c>
      <c r="L6" s="14">
        <v>23</v>
      </c>
      <c r="M6" s="13">
        <f>2.7+2.7+2.7+3.7+3.7+3.7</f>
        <v>19.2</v>
      </c>
      <c r="N6" s="13">
        <f>3+2.4+2.9+4.2+4+3.8</f>
        <v>20.3</v>
      </c>
      <c r="O6" s="13">
        <f>M6+N6</f>
        <v>39.5</v>
      </c>
      <c r="P6" s="14">
        <v>18</v>
      </c>
      <c r="Q6" s="15">
        <f t="shared" ref="Q6:Q28" si="0">H6+L6+P6</f>
        <v>59</v>
      </c>
    </row>
    <row r="7" spans="1:17" x14ac:dyDescent="0.25">
      <c r="A7" s="12">
        <v>2</v>
      </c>
      <c r="B7" s="12" t="s">
        <v>161</v>
      </c>
      <c r="C7" s="12" t="s">
        <v>9</v>
      </c>
      <c r="D7" s="13">
        <v>17.8</v>
      </c>
      <c r="E7" s="13">
        <v>17.2</v>
      </c>
      <c r="F7" s="13">
        <v>16.3</v>
      </c>
      <c r="G7" s="13">
        <f>SUM(D7:F7)</f>
        <v>51.3</v>
      </c>
      <c r="H7" s="14">
        <v>13</v>
      </c>
      <c r="I7" s="13">
        <f>2.5+2.7+2.9+3.5+3.8+4.3</f>
        <v>19.7</v>
      </c>
      <c r="J7" s="13">
        <f>2.5+2.6+2.5+4.4+4.7+4</f>
        <v>20.7</v>
      </c>
      <c r="K7" s="13">
        <f>SUM(I7:J7)</f>
        <v>40.4</v>
      </c>
      <c r="L7" s="14">
        <v>13</v>
      </c>
      <c r="M7" s="13">
        <f>2.6+2.6+2.6+3.6+3.6+3.6</f>
        <v>18.600000000000001</v>
      </c>
      <c r="N7" s="13">
        <f>2.6+2.7+2.8+3.8+3.8+3.7</f>
        <v>19.400000000000002</v>
      </c>
      <c r="O7" s="13">
        <f>M7+N7</f>
        <v>38</v>
      </c>
      <c r="P7" s="14">
        <v>13</v>
      </c>
      <c r="Q7" s="15">
        <f t="shared" si="0"/>
        <v>39</v>
      </c>
    </row>
    <row r="8" spans="1:17" x14ac:dyDescent="0.25">
      <c r="A8" s="12">
        <v>3</v>
      </c>
      <c r="B8" s="16" t="s">
        <v>388</v>
      </c>
      <c r="C8" s="12" t="s">
        <v>82</v>
      </c>
      <c r="D8" s="13"/>
      <c r="E8" s="13"/>
      <c r="F8" s="13"/>
      <c r="G8" s="13"/>
      <c r="H8" s="14"/>
      <c r="I8" s="13">
        <f>2.8+2.8+2.8+3.7+3.8+3.8</f>
        <v>19.7</v>
      </c>
      <c r="J8" s="13">
        <f>2.4+2.5+2.7+4.5+4.6+4.6</f>
        <v>21.300000000000004</v>
      </c>
      <c r="K8" s="13">
        <f>SUM(I8:J8)</f>
        <v>41</v>
      </c>
      <c r="L8" s="14">
        <v>18</v>
      </c>
      <c r="M8" s="13">
        <f>2.7+2.8+2.7+3.7+3.8+3.7</f>
        <v>19.399999999999999</v>
      </c>
      <c r="N8" s="13">
        <f>2.8+2.6+2.6+3.9+3.5+3.7</f>
        <v>19.100000000000001</v>
      </c>
      <c r="O8" s="13">
        <f>M8+N8</f>
        <v>38.5</v>
      </c>
      <c r="P8" s="14">
        <v>13</v>
      </c>
      <c r="Q8" s="15">
        <f t="shared" si="0"/>
        <v>31</v>
      </c>
    </row>
    <row r="9" spans="1:17" x14ac:dyDescent="0.25">
      <c r="A9" s="12">
        <v>4</v>
      </c>
      <c r="B9" s="12" t="s">
        <v>158</v>
      </c>
      <c r="C9" s="12" t="s">
        <v>57</v>
      </c>
      <c r="D9" s="13">
        <v>17.899999999999999</v>
      </c>
      <c r="E9" s="13">
        <v>18.100000000000001</v>
      </c>
      <c r="F9" s="13">
        <v>17.2</v>
      </c>
      <c r="G9" s="13">
        <f>SUM(D9:F9)</f>
        <v>53.2</v>
      </c>
      <c r="H9" s="14">
        <v>23</v>
      </c>
      <c r="I9" s="13"/>
      <c r="J9" s="13"/>
      <c r="K9" s="13"/>
      <c r="L9" s="14"/>
      <c r="M9" s="13"/>
      <c r="N9" s="13"/>
      <c r="O9" s="13"/>
      <c r="P9" s="14"/>
      <c r="Q9" s="15">
        <f t="shared" si="0"/>
        <v>23</v>
      </c>
    </row>
    <row r="10" spans="1:17" x14ac:dyDescent="0.25">
      <c r="A10" s="12">
        <v>5</v>
      </c>
      <c r="B10" s="16" t="s">
        <v>399</v>
      </c>
      <c r="C10" s="12" t="s">
        <v>668</v>
      </c>
      <c r="D10" s="13"/>
      <c r="E10" s="13"/>
      <c r="F10" s="13"/>
      <c r="G10" s="13"/>
      <c r="H10" s="14"/>
      <c r="I10" s="13"/>
      <c r="J10" s="13"/>
      <c r="K10" s="13"/>
      <c r="L10" s="14"/>
      <c r="M10" s="13">
        <f>2.8+2.9+2.9+3.7+3.9+3.8</f>
        <v>20</v>
      </c>
      <c r="N10" s="13">
        <f>2.9+3+3.3+4+4+3.5</f>
        <v>20.7</v>
      </c>
      <c r="O10" s="13">
        <f>M10+N10</f>
        <v>40.700000000000003</v>
      </c>
      <c r="P10" s="14">
        <v>23</v>
      </c>
      <c r="Q10" s="15">
        <f t="shared" si="0"/>
        <v>23</v>
      </c>
    </row>
    <row r="11" spans="1:17" x14ac:dyDescent="0.25">
      <c r="A11" s="12">
        <v>6</v>
      </c>
      <c r="B11" s="16" t="s">
        <v>387</v>
      </c>
      <c r="C11" s="12" t="s">
        <v>9</v>
      </c>
      <c r="D11" s="13"/>
      <c r="E11" s="13"/>
      <c r="F11" s="13"/>
      <c r="G11" s="13"/>
      <c r="H11" s="14"/>
      <c r="I11" s="13">
        <f>2.6+2.6+2.7+3.6+3.5+4.2</f>
        <v>19.2</v>
      </c>
      <c r="J11" s="13">
        <f>2.3+2.4+2.4+4.3+4.3+4.4</f>
        <v>20.100000000000001</v>
      </c>
      <c r="K11" s="13">
        <f>SUM(I11:J11)</f>
        <v>39.299999999999997</v>
      </c>
      <c r="L11" s="14">
        <v>13</v>
      </c>
      <c r="M11" s="13">
        <f>2.5+2.5+2.6+3.5+3.5+3.6</f>
        <v>18.2</v>
      </c>
      <c r="N11" s="13">
        <f>2.4+2.5+2.6+3.5+3.4+3.6</f>
        <v>18</v>
      </c>
      <c r="O11" s="13">
        <f>M11+N11</f>
        <v>36.200000000000003</v>
      </c>
      <c r="P11" s="14">
        <v>3</v>
      </c>
      <c r="Q11" s="15">
        <f t="shared" si="0"/>
        <v>16</v>
      </c>
    </row>
    <row r="12" spans="1:17" x14ac:dyDescent="0.25">
      <c r="A12" s="12">
        <v>7</v>
      </c>
      <c r="B12" s="12" t="s">
        <v>159</v>
      </c>
      <c r="C12" s="12" t="s">
        <v>57</v>
      </c>
      <c r="D12" s="13">
        <v>16.8</v>
      </c>
      <c r="E12" s="13">
        <v>18.100000000000001</v>
      </c>
      <c r="F12" s="13">
        <v>16.600000000000001</v>
      </c>
      <c r="G12" s="13">
        <f t="shared" ref="G12:G20" si="1">SUM(D12:F12)</f>
        <v>51.500000000000007</v>
      </c>
      <c r="H12" s="14">
        <v>13</v>
      </c>
      <c r="I12" s="13"/>
      <c r="J12" s="13"/>
      <c r="K12" s="13"/>
      <c r="L12" s="14"/>
      <c r="M12" s="13"/>
      <c r="N12" s="13"/>
      <c r="O12" s="13"/>
      <c r="P12" s="14"/>
      <c r="Q12" s="15">
        <f t="shared" si="0"/>
        <v>13</v>
      </c>
    </row>
    <row r="13" spans="1:17" x14ac:dyDescent="0.25">
      <c r="A13" s="12">
        <v>8</v>
      </c>
      <c r="B13" s="12" t="s">
        <v>166</v>
      </c>
      <c r="C13" s="12" t="s">
        <v>6</v>
      </c>
      <c r="D13" s="13">
        <v>16.600000000000001</v>
      </c>
      <c r="E13" s="13">
        <v>17.7</v>
      </c>
      <c r="F13" s="13">
        <v>16</v>
      </c>
      <c r="G13" s="13">
        <f t="shared" si="1"/>
        <v>50.3</v>
      </c>
      <c r="H13" s="14">
        <v>3</v>
      </c>
      <c r="I13" s="13">
        <f>2.3+2.3+3.4+3.5+3.4+3.4</f>
        <v>18.3</v>
      </c>
      <c r="J13" s="13">
        <f>2.2+2.2+2.3+4.3+4.3+4.4</f>
        <v>19.700000000000003</v>
      </c>
      <c r="K13" s="13">
        <f t="shared" ref="K13:K18" si="2">SUM(I13:J13)</f>
        <v>38</v>
      </c>
      <c r="L13" s="14">
        <v>3</v>
      </c>
      <c r="M13" s="13">
        <f>2.3+2.4+2.3+3.4+3.4+3.3</f>
        <v>17.099999999999998</v>
      </c>
      <c r="N13" s="13">
        <f>2.3+2.4+2.4+3.2+3.4+3.2</f>
        <v>16.900000000000002</v>
      </c>
      <c r="O13" s="13">
        <f t="shared" ref="O13:O21" si="3">M13+N13</f>
        <v>34</v>
      </c>
      <c r="P13" s="14">
        <v>3</v>
      </c>
      <c r="Q13" s="15">
        <f t="shared" si="0"/>
        <v>9</v>
      </c>
    </row>
    <row r="14" spans="1:17" x14ac:dyDescent="0.25">
      <c r="A14" s="12">
        <v>9</v>
      </c>
      <c r="B14" s="12" t="s">
        <v>169</v>
      </c>
      <c r="C14" s="12" t="s">
        <v>6</v>
      </c>
      <c r="D14" s="13">
        <v>16.100000000000001</v>
      </c>
      <c r="E14" s="13">
        <v>16.8</v>
      </c>
      <c r="F14" s="13">
        <v>15.9</v>
      </c>
      <c r="G14" s="13">
        <f t="shared" si="1"/>
        <v>48.800000000000004</v>
      </c>
      <c r="H14" s="14">
        <v>3</v>
      </c>
      <c r="I14" s="13">
        <f>2.4+2.4+2.2+3.5+3.5+3.4</f>
        <v>17.399999999999999</v>
      </c>
      <c r="J14" s="13">
        <f>2.2+2.3+2.4+4.4+4.4+4.5</f>
        <v>20.200000000000003</v>
      </c>
      <c r="K14" s="13">
        <f t="shared" si="2"/>
        <v>37.6</v>
      </c>
      <c r="L14" s="14">
        <v>3</v>
      </c>
      <c r="M14" s="13">
        <f>2.5+2.5+2.5+3.5+3.5+3.5</f>
        <v>18</v>
      </c>
      <c r="N14" s="13">
        <f>2.4+2.4+2.4+3.6+3.4+3.4</f>
        <v>17.599999999999998</v>
      </c>
      <c r="O14" s="13">
        <f t="shared" si="3"/>
        <v>35.599999999999994</v>
      </c>
      <c r="P14" s="14">
        <v>3</v>
      </c>
      <c r="Q14" s="15">
        <f t="shared" si="0"/>
        <v>9</v>
      </c>
    </row>
    <row r="15" spans="1:17" x14ac:dyDescent="0.25">
      <c r="A15" s="12">
        <v>10</v>
      </c>
      <c r="B15" s="12" t="s">
        <v>167</v>
      </c>
      <c r="C15" s="12" t="s">
        <v>6</v>
      </c>
      <c r="D15" s="13">
        <v>16.100000000000001</v>
      </c>
      <c r="E15" s="13">
        <v>17</v>
      </c>
      <c r="F15" s="13">
        <v>15.2</v>
      </c>
      <c r="G15" s="13">
        <f t="shared" si="1"/>
        <v>48.3</v>
      </c>
      <c r="H15" s="14">
        <v>3</v>
      </c>
      <c r="I15" s="13">
        <f>2.6+2.4+2.3+3.7+3.4+3.4</f>
        <v>17.8</v>
      </c>
      <c r="J15" s="13">
        <f>2.3+2.3+2.5+4.3+4.2+4.4</f>
        <v>20</v>
      </c>
      <c r="K15" s="13">
        <f t="shared" si="2"/>
        <v>37.799999999999997</v>
      </c>
      <c r="L15" s="14">
        <v>3</v>
      </c>
      <c r="M15" s="13">
        <f>2.5+2.5+2.4+3.5+3.5+3.5</f>
        <v>17.899999999999999</v>
      </c>
      <c r="N15" s="13">
        <f>2.4+2.4+2.4+3.5+3.2+3.6</f>
        <v>17.5</v>
      </c>
      <c r="O15" s="13">
        <f t="shared" si="3"/>
        <v>35.4</v>
      </c>
      <c r="P15" s="14">
        <v>3</v>
      </c>
      <c r="Q15" s="15">
        <f t="shared" si="0"/>
        <v>9</v>
      </c>
    </row>
    <row r="16" spans="1:17" x14ac:dyDescent="0.25">
      <c r="A16" s="12">
        <v>11</v>
      </c>
      <c r="B16" s="12" t="s">
        <v>164</v>
      </c>
      <c r="C16" s="12" t="s">
        <v>6</v>
      </c>
      <c r="D16" s="13">
        <v>15.8</v>
      </c>
      <c r="E16" s="13">
        <v>16.399999999999999</v>
      </c>
      <c r="F16" s="13">
        <v>15.7</v>
      </c>
      <c r="G16" s="13">
        <f t="shared" si="1"/>
        <v>47.900000000000006</v>
      </c>
      <c r="H16" s="14">
        <v>3</v>
      </c>
      <c r="I16" s="13">
        <f>2.6+2.3+2.3+3.6+3.3+3.3</f>
        <v>17.400000000000002</v>
      </c>
      <c r="J16" s="13">
        <f>2.2+2.2+2.4+4.3+4.1+4.3</f>
        <v>19.5</v>
      </c>
      <c r="K16" s="13">
        <f t="shared" si="2"/>
        <v>36.900000000000006</v>
      </c>
      <c r="L16" s="14">
        <v>3</v>
      </c>
      <c r="M16" s="13">
        <f>2.6+2.4+2.4+3.6+3.3+3.3</f>
        <v>17.600000000000001</v>
      </c>
      <c r="N16" s="13">
        <f>2.2+2.3+2.3+3.4+3.3+3.3</f>
        <v>16.8</v>
      </c>
      <c r="O16" s="13">
        <f t="shared" si="3"/>
        <v>34.400000000000006</v>
      </c>
      <c r="P16" s="14">
        <v>3</v>
      </c>
      <c r="Q16" s="15">
        <f t="shared" si="0"/>
        <v>9</v>
      </c>
    </row>
    <row r="17" spans="1:17" x14ac:dyDescent="0.25">
      <c r="A17" s="12">
        <v>12</v>
      </c>
      <c r="B17" s="12" t="s">
        <v>163</v>
      </c>
      <c r="C17" s="12" t="s">
        <v>9</v>
      </c>
      <c r="D17" s="13">
        <v>15.9</v>
      </c>
      <c r="E17" s="13">
        <v>16.5</v>
      </c>
      <c r="F17" s="13">
        <v>15</v>
      </c>
      <c r="G17" s="13">
        <f t="shared" si="1"/>
        <v>47.4</v>
      </c>
      <c r="H17" s="14">
        <v>3</v>
      </c>
      <c r="I17" s="13">
        <f>2.6+2.3+2.3+3.5+3.3+3.4</f>
        <v>17.399999999999999</v>
      </c>
      <c r="J17" s="13">
        <f>2.3+2.3+2.2+4.2+4.2+4.3</f>
        <v>19.5</v>
      </c>
      <c r="K17" s="13">
        <f t="shared" si="2"/>
        <v>36.9</v>
      </c>
      <c r="L17" s="14">
        <v>3</v>
      </c>
      <c r="M17" s="13">
        <f>2.4+2.4+2.4+3.4+3.3+3.3</f>
        <v>17.2</v>
      </c>
      <c r="N17" s="13">
        <f>2.3+2.3+2.4+3.2+3.2+3.3</f>
        <v>16.7</v>
      </c>
      <c r="O17" s="13">
        <f t="shared" si="3"/>
        <v>33.9</v>
      </c>
      <c r="P17" s="14">
        <v>3</v>
      </c>
      <c r="Q17" s="15">
        <f t="shared" si="0"/>
        <v>9</v>
      </c>
    </row>
    <row r="18" spans="1:17" x14ac:dyDescent="0.25">
      <c r="A18" s="12">
        <v>13</v>
      </c>
      <c r="B18" s="12" t="s">
        <v>165</v>
      </c>
      <c r="C18" s="12" t="s">
        <v>6</v>
      </c>
      <c r="D18" s="13">
        <v>15.4</v>
      </c>
      <c r="E18" s="13">
        <v>16.3</v>
      </c>
      <c r="F18" s="13">
        <v>14.8</v>
      </c>
      <c r="G18" s="13">
        <f t="shared" si="1"/>
        <v>46.5</v>
      </c>
      <c r="H18" s="14">
        <v>3</v>
      </c>
      <c r="I18" s="13">
        <f>2.4+2.3+2.4+3.5+3.3+3.6</f>
        <v>17.5</v>
      </c>
      <c r="J18" s="13">
        <f>2.2+2.2+2.3+4.3+4.2+4.3</f>
        <v>19.5</v>
      </c>
      <c r="K18" s="13">
        <f t="shared" si="2"/>
        <v>37</v>
      </c>
      <c r="L18" s="14">
        <v>3</v>
      </c>
      <c r="M18" s="13">
        <f>2.4+2.3+2.3+3.4+3.3+3.4</f>
        <v>17.099999999999998</v>
      </c>
      <c r="N18" s="13">
        <f>2.4+2.3+2.4+3.4+3.2+3.4</f>
        <v>17.099999999999998</v>
      </c>
      <c r="O18" s="13">
        <f t="shared" si="3"/>
        <v>34.199999999999996</v>
      </c>
      <c r="P18" s="14">
        <v>3</v>
      </c>
      <c r="Q18" s="15">
        <f t="shared" si="0"/>
        <v>9</v>
      </c>
    </row>
    <row r="19" spans="1:17" x14ac:dyDescent="0.25">
      <c r="A19" s="12">
        <v>14</v>
      </c>
      <c r="B19" s="12" t="s">
        <v>160</v>
      </c>
      <c r="C19" s="12" t="s">
        <v>57</v>
      </c>
      <c r="D19" s="13">
        <v>16.600000000000001</v>
      </c>
      <c r="E19" s="13">
        <v>17.5</v>
      </c>
      <c r="F19" s="13">
        <v>16.600000000000001</v>
      </c>
      <c r="G19" s="13">
        <f t="shared" si="1"/>
        <v>50.7</v>
      </c>
      <c r="H19" s="14">
        <v>3</v>
      </c>
      <c r="I19" s="13"/>
      <c r="J19" s="13"/>
      <c r="K19" s="13"/>
      <c r="L19" s="14"/>
      <c r="M19" s="13">
        <f>2.4+2.4+2.4+3.4+3.4+3.5</f>
        <v>17.5</v>
      </c>
      <c r="N19" s="13">
        <f>2.7+2.5+2.6+3.7+3.4+3.6</f>
        <v>18.5</v>
      </c>
      <c r="O19" s="13">
        <f t="shared" si="3"/>
        <v>36</v>
      </c>
      <c r="P19" s="14">
        <v>3</v>
      </c>
      <c r="Q19" s="15">
        <f t="shared" si="0"/>
        <v>6</v>
      </c>
    </row>
    <row r="20" spans="1:17" x14ac:dyDescent="0.25">
      <c r="A20" s="12">
        <v>15</v>
      </c>
      <c r="B20" s="12" t="s">
        <v>168</v>
      </c>
      <c r="C20" s="12" t="s">
        <v>120</v>
      </c>
      <c r="D20" s="13">
        <v>15.8</v>
      </c>
      <c r="E20" s="13">
        <v>17</v>
      </c>
      <c r="F20" s="13">
        <v>16.2</v>
      </c>
      <c r="G20" s="13">
        <f t="shared" si="1"/>
        <v>49</v>
      </c>
      <c r="H20" s="14">
        <v>3</v>
      </c>
      <c r="I20" s="13"/>
      <c r="J20" s="13"/>
      <c r="K20" s="13"/>
      <c r="L20" s="14"/>
      <c r="M20" s="13">
        <f>2.6+2.6+2.6+3.6+3.6+3.7</f>
        <v>18.7</v>
      </c>
      <c r="N20" s="13">
        <f>2.6+2.6+2.5+3.6+3.6+3.3</f>
        <v>18.2</v>
      </c>
      <c r="O20" s="13">
        <f t="shared" si="3"/>
        <v>36.9</v>
      </c>
      <c r="P20" s="14">
        <v>3</v>
      </c>
      <c r="Q20" s="15">
        <f t="shared" si="0"/>
        <v>6</v>
      </c>
    </row>
    <row r="21" spans="1:17" x14ac:dyDescent="0.25">
      <c r="A21" s="12">
        <v>16</v>
      </c>
      <c r="B21" s="16" t="s">
        <v>386</v>
      </c>
      <c r="C21" s="12" t="s">
        <v>9</v>
      </c>
      <c r="D21" s="13"/>
      <c r="E21" s="13"/>
      <c r="F21" s="13"/>
      <c r="G21" s="13"/>
      <c r="H21" s="14"/>
      <c r="I21" s="13">
        <f>2.4+2.4+2.5+3.5+3.4+3.6</f>
        <v>17.8</v>
      </c>
      <c r="J21" s="13">
        <f>2.3+2.2+2.2+4.3+4.1+4.2</f>
        <v>19.3</v>
      </c>
      <c r="K21" s="13">
        <f>SUM(I21:J21)</f>
        <v>37.1</v>
      </c>
      <c r="L21" s="14">
        <v>3</v>
      </c>
      <c r="M21" s="13">
        <f>2.3+2.2+2.2+3.3+3.3+3.4</f>
        <v>16.7</v>
      </c>
      <c r="N21" s="13">
        <f>2.2+2.5+2.5+3.1+3.5+3.4</f>
        <v>17.2</v>
      </c>
      <c r="O21" s="13">
        <f t="shared" si="3"/>
        <v>33.9</v>
      </c>
      <c r="P21" s="14">
        <v>3</v>
      </c>
      <c r="Q21" s="15">
        <f t="shared" si="0"/>
        <v>6</v>
      </c>
    </row>
    <row r="22" spans="1:17" x14ac:dyDescent="0.25">
      <c r="A22" s="12">
        <v>17</v>
      </c>
      <c r="B22" s="12" t="s">
        <v>157</v>
      </c>
      <c r="C22" s="12" t="s">
        <v>91</v>
      </c>
      <c r="D22" s="13">
        <v>16.100000000000001</v>
      </c>
      <c r="E22" s="13">
        <v>16.899999999999999</v>
      </c>
      <c r="F22" s="13">
        <v>15.7</v>
      </c>
      <c r="G22" s="13">
        <f>SUM(D22:F22)</f>
        <v>48.7</v>
      </c>
      <c r="H22" s="14">
        <v>3</v>
      </c>
      <c r="I22" s="13"/>
      <c r="J22" s="13"/>
      <c r="K22" s="13"/>
      <c r="L22" s="14"/>
      <c r="M22" s="13"/>
      <c r="N22" s="13"/>
      <c r="O22" s="13"/>
      <c r="P22" s="14"/>
      <c r="Q22" s="15">
        <f t="shared" si="0"/>
        <v>3</v>
      </c>
    </row>
    <row r="23" spans="1:17" x14ac:dyDescent="0.25">
      <c r="A23" s="12">
        <v>18</v>
      </c>
      <c r="B23" s="16" t="s">
        <v>385</v>
      </c>
      <c r="C23" s="12" t="s">
        <v>6</v>
      </c>
      <c r="D23" s="13"/>
      <c r="E23" s="13"/>
      <c r="F23" s="13"/>
      <c r="G23" s="13"/>
      <c r="H23" s="14"/>
      <c r="I23" s="13">
        <f>2.4+2.3+2.2+3.5+3.3+3.3</f>
        <v>17</v>
      </c>
      <c r="J23" s="13">
        <f>2.1+2.1+2.2+4.2+4.3+4.2</f>
        <v>19.100000000000001</v>
      </c>
      <c r="K23" s="13">
        <f>SUM(I23:J23)</f>
        <v>36.1</v>
      </c>
      <c r="L23" s="14">
        <v>3</v>
      </c>
      <c r="M23" s="13"/>
      <c r="N23" s="13"/>
      <c r="O23" s="13"/>
      <c r="P23" s="14"/>
      <c r="Q23" s="15">
        <f t="shared" si="0"/>
        <v>3</v>
      </c>
    </row>
    <row r="24" spans="1:17" x14ac:dyDescent="0.25">
      <c r="A24" s="12">
        <v>19</v>
      </c>
      <c r="B24" s="16" t="s">
        <v>400</v>
      </c>
      <c r="C24" s="12" t="s">
        <v>668</v>
      </c>
      <c r="D24" s="13"/>
      <c r="E24" s="13"/>
      <c r="F24" s="13"/>
      <c r="G24" s="13"/>
      <c r="H24" s="14"/>
      <c r="I24" s="13"/>
      <c r="J24" s="13"/>
      <c r="K24" s="13"/>
      <c r="L24" s="14"/>
      <c r="M24" s="13">
        <f>2.7+2.7+2.8+3.7+3.7+3.7</f>
        <v>19.299999999999997</v>
      </c>
      <c r="N24" s="13">
        <f>2.6+2.8+2.4+3.7+3.7+3.1</f>
        <v>18.3</v>
      </c>
      <c r="O24" s="13">
        <f>M24+N24</f>
        <v>37.599999999999994</v>
      </c>
      <c r="P24" s="14">
        <v>3</v>
      </c>
      <c r="Q24" s="15">
        <f t="shared" si="0"/>
        <v>3</v>
      </c>
    </row>
    <row r="25" spans="1:17" x14ac:dyDescent="0.25">
      <c r="A25" s="12">
        <v>20</v>
      </c>
      <c r="B25" s="16" t="s">
        <v>671</v>
      </c>
      <c r="C25" s="12" t="s">
        <v>660</v>
      </c>
      <c r="D25" s="13"/>
      <c r="E25" s="13"/>
      <c r="F25" s="13"/>
      <c r="G25" s="13"/>
      <c r="H25" s="14"/>
      <c r="I25" s="13"/>
      <c r="J25" s="13"/>
      <c r="K25" s="13"/>
      <c r="L25" s="14"/>
      <c r="M25" s="13">
        <f>2.3+2.3+2.4+3.3+3.3+3.3</f>
        <v>16.900000000000002</v>
      </c>
      <c r="N25" s="13">
        <f>2.3+2.2+2.2+3.3+3.2+3.4</f>
        <v>16.599999999999998</v>
      </c>
      <c r="O25" s="13">
        <f>M25+N25</f>
        <v>33.5</v>
      </c>
      <c r="P25" s="14">
        <v>3</v>
      </c>
      <c r="Q25" s="15">
        <f t="shared" si="0"/>
        <v>3</v>
      </c>
    </row>
    <row r="26" spans="1:17" x14ac:dyDescent="0.25">
      <c r="A26" s="12">
        <v>21</v>
      </c>
      <c r="B26" s="16" t="s">
        <v>672</v>
      </c>
      <c r="C26" s="12" t="s">
        <v>660</v>
      </c>
      <c r="D26" s="13"/>
      <c r="E26" s="13"/>
      <c r="F26" s="13"/>
      <c r="G26" s="13"/>
      <c r="H26" s="14"/>
      <c r="I26" s="13"/>
      <c r="J26" s="13"/>
      <c r="K26" s="13"/>
      <c r="L26" s="14"/>
      <c r="M26" s="13">
        <f>2.4+2.4+2.5+3.4+3.5+3.5</f>
        <v>17.7</v>
      </c>
      <c r="N26" s="13">
        <f>2.5+2.4+2.4+3.6+3.3+3.5</f>
        <v>17.7</v>
      </c>
      <c r="O26" s="13">
        <f>M26+N26</f>
        <v>35.4</v>
      </c>
      <c r="P26" s="14">
        <v>3</v>
      </c>
      <c r="Q26" s="15">
        <f t="shared" si="0"/>
        <v>3</v>
      </c>
    </row>
    <row r="27" spans="1:17" x14ac:dyDescent="0.25">
      <c r="A27" s="12">
        <v>22</v>
      </c>
      <c r="B27" s="16" t="s">
        <v>673</v>
      </c>
      <c r="C27" s="12" t="s">
        <v>9</v>
      </c>
      <c r="D27" s="13"/>
      <c r="E27" s="13"/>
      <c r="F27" s="13"/>
      <c r="G27" s="13"/>
      <c r="H27" s="14"/>
      <c r="I27" s="13"/>
      <c r="J27" s="13"/>
      <c r="K27" s="13"/>
      <c r="L27" s="14"/>
      <c r="M27" s="13">
        <f>2.6+2.6+2.6+3.6+3.6+3.7</f>
        <v>18.7</v>
      </c>
      <c r="N27" s="13">
        <f>2.5+2.6+2.7+3.7+3.6+3.6</f>
        <v>18.7</v>
      </c>
      <c r="O27" s="13">
        <f>M27+N27</f>
        <v>37.4</v>
      </c>
      <c r="P27" s="14">
        <v>3</v>
      </c>
      <c r="Q27" s="15">
        <f t="shared" si="0"/>
        <v>3</v>
      </c>
    </row>
    <row r="28" spans="1:17" x14ac:dyDescent="0.25">
      <c r="A28" s="12">
        <v>23</v>
      </c>
      <c r="B28" s="16" t="s">
        <v>674</v>
      </c>
      <c r="C28" s="12" t="s">
        <v>9</v>
      </c>
      <c r="D28" s="13"/>
      <c r="E28" s="13"/>
      <c r="F28" s="13"/>
      <c r="G28" s="13"/>
      <c r="H28" s="14"/>
      <c r="I28" s="13"/>
      <c r="J28" s="13"/>
      <c r="K28" s="13"/>
      <c r="L28" s="14"/>
      <c r="M28" s="13">
        <f>2.3+2.3+2.3+3.3+3.3+3.3</f>
        <v>16.8</v>
      </c>
      <c r="N28" s="13">
        <f>2.3+2.4+2.6+3.4+3.2+3.5</f>
        <v>17.399999999999999</v>
      </c>
      <c r="O28" s="13">
        <f>M28+N28</f>
        <v>34.200000000000003</v>
      </c>
      <c r="P28" s="14">
        <v>3</v>
      </c>
      <c r="Q28" s="15">
        <f t="shared" si="0"/>
        <v>3</v>
      </c>
    </row>
    <row r="29" spans="1:17" x14ac:dyDescent="0.25">
      <c r="A29" s="12">
        <v>24</v>
      </c>
      <c r="B29" s="16" t="s">
        <v>383</v>
      </c>
      <c r="C29" s="12" t="s">
        <v>384</v>
      </c>
      <c r="D29" s="13"/>
      <c r="E29" s="13"/>
      <c r="F29" s="13"/>
      <c r="G29" s="13"/>
      <c r="H29" s="14"/>
      <c r="I29" s="13"/>
      <c r="J29" s="13"/>
      <c r="K29" s="13"/>
      <c r="L29" s="14"/>
      <c r="M29" s="13"/>
      <c r="N29" s="13"/>
      <c r="O29" s="13"/>
      <c r="P29" s="14"/>
      <c r="Q29" s="15"/>
    </row>
    <row r="30" spans="1:17" x14ac:dyDescent="0.2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7" x14ac:dyDescent="0.25">
      <c r="B31" s="5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</sheetData>
  <sortState ref="A3:Q27">
    <sortCondition descending="1" ref="Q3:Q27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7109375" customWidth="1"/>
    <col min="5" max="5" width="6.5703125" customWidth="1"/>
    <col min="6" max="6" width="6.140625" customWidth="1"/>
    <col min="7" max="7" width="11.85546875" bestFit="1" customWidth="1"/>
    <col min="8" max="8" width="20.5703125" customWidth="1"/>
    <col min="9" max="9" width="7" customWidth="1"/>
    <col min="10" max="10" width="8" customWidth="1"/>
    <col min="12" max="12" width="18.140625" customWidth="1"/>
    <col min="13" max="13" width="8" customWidth="1"/>
    <col min="14" max="14" width="8.28515625" customWidth="1"/>
    <col min="16" max="16" width="18" customWidth="1"/>
    <col min="17" max="17" width="23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224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222</v>
      </c>
      <c r="C6" s="28" t="s">
        <v>57</v>
      </c>
      <c r="D6" s="29">
        <v>23.9</v>
      </c>
      <c r="E6" s="29">
        <v>23.3</v>
      </c>
      <c r="F6" s="29">
        <v>23.1</v>
      </c>
      <c r="G6" s="29">
        <f>SUM(D6:F6)</f>
        <v>70.300000000000011</v>
      </c>
      <c r="H6" s="31">
        <v>23</v>
      </c>
      <c r="I6" s="29"/>
      <c r="J6" s="29"/>
      <c r="K6" s="29"/>
      <c r="L6" s="31"/>
      <c r="M6" s="29">
        <f>2.8+2.7+2.7+3.8+3.6+3.7</f>
        <v>19.3</v>
      </c>
      <c r="N6" s="29">
        <f>2.7+2.8+2.6+3.7+3.8+3.7</f>
        <v>19.3</v>
      </c>
      <c r="O6" s="29">
        <f>M6+N6</f>
        <v>38.6</v>
      </c>
      <c r="P6" s="31">
        <v>23</v>
      </c>
      <c r="Q6" s="32">
        <f t="shared" ref="Q6:Q16" si="0">H6+L6+P6</f>
        <v>46</v>
      </c>
    </row>
    <row r="7" spans="1:17" x14ac:dyDescent="0.25">
      <c r="A7" s="28">
        <v>2</v>
      </c>
      <c r="B7" s="30" t="s">
        <v>546</v>
      </c>
      <c r="C7" s="28" t="s">
        <v>397</v>
      </c>
      <c r="D7" s="29"/>
      <c r="E7" s="29"/>
      <c r="F7" s="29"/>
      <c r="G7" s="29"/>
      <c r="H7" s="31"/>
      <c r="I7" s="29">
        <f>2.7+2.8+2.7+3.4+3.7+3.7</f>
        <v>19</v>
      </c>
      <c r="J7" s="29">
        <f>2.7+2.7+2.5+4.4+4.5+4.1</f>
        <v>20.9</v>
      </c>
      <c r="K7" s="29">
        <f>SUM(I7:J7)</f>
        <v>39.9</v>
      </c>
      <c r="L7" s="31">
        <v>23</v>
      </c>
      <c r="M7" s="29">
        <f>2.6+2.5+2.5+3.6+3.6+3.5</f>
        <v>18.299999999999997</v>
      </c>
      <c r="N7" s="29">
        <f>2.6+2.7+2.7+3.6+3.6+3.5</f>
        <v>18.7</v>
      </c>
      <c r="O7" s="29">
        <f>M7+N7</f>
        <v>37</v>
      </c>
      <c r="P7" s="31">
        <v>13</v>
      </c>
      <c r="Q7" s="32">
        <f t="shared" si="0"/>
        <v>36</v>
      </c>
    </row>
    <row r="8" spans="1:17" x14ac:dyDescent="0.25">
      <c r="A8" s="28">
        <v>3</v>
      </c>
      <c r="B8" s="28" t="s">
        <v>221</v>
      </c>
      <c r="C8" s="28" t="s">
        <v>9</v>
      </c>
      <c r="D8" s="29">
        <v>22.6</v>
      </c>
      <c r="E8" s="29">
        <v>21</v>
      </c>
      <c r="F8" s="29">
        <v>21.3</v>
      </c>
      <c r="G8" s="29">
        <f>SUM(D8:F8)</f>
        <v>64.900000000000006</v>
      </c>
      <c r="H8" s="31">
        <v>13</v>
      </c>
      <c r="I8" s="29">
        <f>2.7+2.6+2.7+3.2+3.6+3.6</f>
        <v>18.399999999999999</v>
      </c>
      <c r="J8" s="29">
        <f>2.6+2.5+2.5+4.2+4.2+4.2</f>
        <v>20.2</v>
      </c>
      <c r="K8" s="29">
        <f>SUM(I8:J8)</f>
        <v>38.599999999999994</v>
      </c>
      <c r="L8" s="31">
        <v>18</v>
      </c>
      <c r="M8" s="29">
        <f>2.6+2.5+2.5+3.5+3.5+3.6</f>
        <v>18.2</v>
      </c>
      <c r="N8" s="29">
        <f>2.6+2.6+2.6+3.5+3.7+3.6</f>
        <v>18.600000000000001</v>
      </c>
      <c r="O8" s="29">
        <f>M8+N8</f>
        <v>36.799999999999997</v>
      </c>
      <c r="P8" s="31">
        <v>3</v>
      </c>
      <c r="Q8" s="32">
        <f t="shared" si="0"/>
        <v>34</v>
      </c>
    </row>
    <row r="9" spans="1:17" x14ac:dyDescent="0.25">
      <c r="A9" s="28">
        <v>4</v>
      </c>
      <c r="B9" s="30" t="s">
        <v>547</v>
      </c>
      <c r="C9" s="28" t="s">
        <v>82</v>
      </c>
      <c r="D9" s="29"/>
      <c r="E9" s="29"/>
      <c r="F9" s="29"/>
      <c r="G9" s="29"/>
      <c r="H9" s="31"/>
      <c r="I9" s="29">
        <f>2.6+2.5+2.6+3.4+3.5+3.6</f>
        <v>18.2</v>
      </c>
      <c r="J9" s="29">
        <f>2.6+2.6+2.5+4.4+4.3+3.9</f>
        <v>20.3</v>
      </c>
      <c r="K9" s="29">
        <f>SUM(I9:J9)</f>
        <v>38.5</v>
      </c>
      <c r="L9" s="31">
        <v>13</v>
      </c>
      <c r="M9" s="29">
        <f>2.8+2.5+2.4+3.8+3.5+3.5</f>
        <v>18.5</v>
      </c>
      <c r="N9" s="29">
        <f>2.6+2.6+2.6+3.6+3.6+3.7</f>
        <v>18.7</v>
      </c>
      <c r="O9" s="29">
        <f>M9+N9</f>
        <v>37.200000000000003</v>
      </c>
      <c r="P9" s="31">
        <v>18</v>
      </c>
      <c r="Q9" s="32">
        <f t="shared" si="0"/>
        <v>31</v>
      </c>
    </row>
    <row r="10" spans="1:17" x14ac:dyDescent="0.25">
      <c r="A10" s="28">
        <v>5</v>
      </c>
      <c r="B10" s="28" t="s">
        <v>724</v>
      </c>
      <c r="C10" s="28" t="s">
        <v>7</v>
      </c>
      <c r="D10" s="29">
        <v>23.8</v>
      </c>
      <c r="E10" s="29">
        <v>21.3</v>
      </c>
      <c r="F10" s="29">
        <v>20.100000000000001</v>
      </c>
      <c r="G10" s="29">
        <f>SUM(D10:F10)</f>
        <v>65.2</v>
      </c>
      <c r="H10" s="31">
        <v>18</v>
      </c>
      <c r="I10" s="29"/>
      <c r="J10" s="29"/>
      <c r="K10" s="29"/>
      <c r="L10" s="31"/>
      <c r="M10" s="29">
        <f>2.6+2.6+2.5+3.5+3.6+3.6</f>
        <v>18.399999999999999</v>
      </c>
      <c r="N10" s="29">
        <f>2.6+2.5+2.7+3.5+3.6+3.6</f>
        <v>18.5</v>
      </c>
      <c r="O10" s="29">
        <f>M10+N10</f>
        <v>36.9</v>
      </c>
      <c r="P10" s="31">
        <v>13</v>
      </c>
      <c r="Q10" s="32">
        <f t="shared" si="0"/>
        <v>31</v>
      </c>
    </row>
    <row r="11" spans="1:17" x14ac:dyDescent="0.25">
      <c r="A11" s="28">
        <v>6</v>
      </c>
      <c r="B11" s="30" t="s">
        <v>545</v>
      </c>
      <c r="C11" s="28" t="s">
        <v>9</v>
      </c>
      <c r="D11" s="29"/>
      <c r="E11" s="29"/>
      <c r="F11" s="29"/>
      <c r="G11" s="29"/>
      <c r="H11" s="31"/>
      <c r="I11" s="29">
        <f>2.6+2.5+2.7+3.4+3.4+3.7</f>
        <v>18.3</v>
      </c>
      <c r="J11" s="29">
        <f>2.4+2.5+2.3+3.8+3.8+4</f>
        <v>18.8</v>
      </c>
      <c r="K11" s="29">
        <f>SUM(I11:J11)</f>
        <v>37.1</v>
      </c>
      <c r="L11" s="31">
        <v>13</v>
      </c>
      <c r="M11" s="29"/>
      <c r="N11" s="29"/>
      <c r="O11" s="29"/>
      <c r="P11" s="31"/>
      <c r="Q11" s="32">
        <f t="shared" si="0"/>
        <v>13</v>
      </c>
    </row>
    <row r="12" spans="1:17" x14ac:dyDescent="0.25">
      <c r="A12" s="28">
        <v>7</v>
      </c>
      <c r="B12" s="28" t="s">
        <v>223</v>
      </c>
      <c r="C12" s="28" t="s">
        <v>6</v>
      </c>
      <c r="D12" s="29">
        <v>22.1</v>
      </c>
      <c r="E12" s="29">
        <v>18.5</v>
      </c>
      <c r="F12" s="29">
        <v>20.100000000000001</v>
      </c>
      <c r="G12" s="29">
        <f>SUM(D12:F12)</f>
        <v>60.7</v>
      </c>
      <c r="H12" s="31">
        <v>13</v>
      </c>
      <c r="I12" s="29"/>
      <c r="J12" s="29"/>
      <c r="K12" s="29"/>
      <c r="L12" s="31"/>
      <c r="M12" s="29"/>
      <c r="N12" s="29"/>
      <c r="O12" s="29"/>
      <c r="P12" s="31"/>
      <c r="Q12" s="32">
        <f t="shared" si="0"/>
        <v>13</v>
      </c>
    </row>
    <row r="13" spans="1:17" x14ac:dyDescent="0.25">
      <c r="A13" s="28">
        <v>8</v>
      </c>
      <c r="B13" s="30" t="s">
        <v>723</v>
      </c>
      <c r="C13" s="28" t="s">
        <v>698</v>
      </c>
      <c r="D13" s="29"/>
      <c r="E13" s="29"/>
      <c r="F13" s="29"/>
      <c r="G13" s="29"/>
      <c r="H13" s="31"/>
      <c r="I13" s="29"/>
      <c r="J13" s="29"/>
      <c r="K13" s="29"/>
      <c r="L13" s="31"/>
      <c r="M13" s="29">
        <f>2.4+2.4+2.4+3.4+3.4+3.4</f>
        <v>17.399999999999999</v>
      </c>
      <c r="N13" s="29">
        <f>2.6+2.6+2.6+3.7+3.6+3.6</f>
        <v>18.7</v>
      </c>
      <c r="O13" s="29">
        <f>M13+N13</f>
        <v>36.099999999999994</v>
      </c>
      <c r="P13" s="31">
        <v>3</v>
      </c>
      <c r="Q13" s="32">
        <f t="shared" si="0"/>
        <v>3</v>
      </c>
    </row>
    <row r="14" spans="1:17" x14ac:dyDescent="0.25">
      <c r="A14" s="28">
        <v>9</v>
      </c>
      <c r="B14" s="30" t="s">
        <v>544</v>
      </c>
      <c r="C14" s="28" t="s">
        <v>12</v>
      </c>
      <c r="D14" s="29"/>
      <c r="E14" s="29"/>
      <c r="F14" s="29"/>
      <c r="G14" s="29"/>
      <c r="H14" s="31"/>
      <c r="I14" s="29"/>
      <c r="J14" s="29"/>
      <c r="K14" s="29"/>
      <c r="L14" s="31"/>
      <c r="M14" s="29">
        <f>2.1+2.1+2.1+3.2+3.1+3.1</f>
        <v>15.7</v>
      </c>
      <c r="N14" s="29">
        <f>2.4+2.3+2.4+3.4+3.3+3.4</f>
        <v>17.2</v>
      </c>
      <c r="O14" s="29">
        <f>M14+N14</f>
        <v>32.9</v>
      </c>
      <c r="P14" s="31">
        <v>3</v>
      </c>
      <c r="Q14" s="32">
        <f t="shared" si="0"/>
        <v>3</v>
      </c>
    </row>
    <row r="15" spans="1:17" x14ac:dyDescent="0.25">
      <c r="A15" s="28">
        <v>10</v>
      </c>
      <c r="B15" s="30" t="s">
        <v>548</v>
      </c>
      <c r="C15" s="28" t="s">
        <v>82</v>
      </c>
      <c r="D15" s="29"/>
      <c r="E15" s="29"/>
      <c r="F15" s="29"/>
      <c r="G15" s="29"/>
      <c r="H15" s="31"/>
      <c r="I15" s="29">
        <f>2.6+2.5+2.6+3.3+3.4+3.5</f>
        <v>17.899999999999999</v>
      </c>
      <c r="J15" s="29">
        <f>2.3+2.4+2.4+3.9+4+3.8</f>
        <v>18.8</v>
      </c>
      <c r="K15" s="29">
        <f>SUM(I15:J15)</f>
        <v>36.700000000000003</v>
      </c>
      <c r="L15" s="31">
        <v>3</v>
      </c>
      <c r="M15" s="29"/>
      <c r="N15" s="29"/>
      <c r="O15" s="29"/>
      <c r="P15" s="31"/>
      <c r="Q15" s="32">
        <f t="shared" si="0"/>
        <v>3</v>
      </c>
    </row>
    <row r="16" spans="1:17" x14ac:dyDescent="0.25">
      <c r="A16" s="28">
        <v>11</v>
      </c>
      <c r="B16" s="28" t="s">
        <v>220</v>
      </c>
      <c r="C16" s="28" t="s">
        <v>67</v>
      </c>
      <c r="D16" s="29">
        <v>19</v>
      </c>
      <c r="E16" s="29">
        <v>17.5</v>
      </c>
      <c r="F16" s="29">
        <v>17.100000000000001</v>
      </c>
      <c r="G16" s="29">
        <f>SUM(D16:F16)</f>
        <v>53.6</v>
      </c>
      <c r="H16" s="31">
        <v>3</v>
      </c>
      <c r="I16" s="29"/>
      <c r="J16" s="29"/>
      <c r="K16" s="29"/>
      <c r="L16" s="31"/>
      <c r="M16" s="29"/>
      <c r="N16" s="29"/>
      <c r="O16" s="29"/>
      <c r="P16" s="31"/>
      <c r="Q16" s="32">
        <f t="shared" si="0"/>
        <v>3</v>
      </c>
    </row>
    <row r="17" spans="4:17" x14ac:dyDescent="0.25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4:17" x14ac:dyDescent="0.25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</sheetData>
  <sortState ref="B4:Q14">
    <sortCondition descending="1" ref="Q4:Q14"/>
  </sortState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140625" customWidth="1"/>
    <col min="5" max="5" width="6.5703125" customWidth="1"/>
    <col min="6" max="6" width="6.7109375" customWidth="1"/>
    <col min="7" max="7" width="11.85546875" bestFit="1" customWidth="1"/>
    <col min="8" max="8" width="18.42578125" customWidth="1"/>
    <col min="9" max="9" width="6.7109375" customWidth="1"/>
    <col min="10" max="10" width="6.42578125" customWidth="1"/>
    <col min="12" max="12" width="18.5703125" customWidth="1"/>
    <col min="13" max="13" width="7.42578125" customWidth="1"/>
    <col min="14" max="14" width="8" customWidth="1"/>
    <col min="16" max="16" width="18.7109375" customWidth="1"/>
    <col min="17" max="17" width="23.855468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226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225</v>
      </c>
      <c r="C6" s="28" t="s">
        <v>57</v>
      </c>
      <c r="D6" s="29">
        <v>23.7</v>
      </c>
      <c r="E6" s="29">
        <v>23.5</v>
      </c>
      <c r="F6" s="29">
        <v>22.3</v>
      </c>
      <c r="G6" s="29">
        <f t="shared" ref="G6" si="0">SUM(D6:F6)</f>
        <v>69.5</v>
      </c>
      <c r="H6" s="31">
        <v>23</v>
      </c>
      <c r="I6" s="29"/>
      <c r="J6" s="29"/>
      <c r="K6" s="29"/>
      <c r="L6" s="31"/>
      <c r="M6" s="29"/>
      <c r="N6" s="29"/>
      <c r="O6" s="29"/>
      <c r="P6" s="31"/>
      <c r="Q6" s="32">
        <f>H6+L6+P6</f>
        <v>23</v>
      </c>
    </row>
    <row r="7" spans="1:17" x14ac:dyDescent="0.25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</sheetData>
  <mergeCells count="1"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22.140625" style="4" customWidth="1"/>
    <col min="4" max="5" width="7.42578125" style="4" customWidth="1"/>
    <col min="6" max="6" width="7.140625" style="4" customWidth="1"/>
    <col min="7" max="7" width="11.85546875" style="4" bestFit="1" customWidth="1"/>
    <col min="8" max="8" width="17.85546875" style="4" customWidth="1"/>
    <col min="9" max="9" width="8.5703125" style="4" customWidth="1"/>
    <col min="10" max="10" width="8.28515625" style="4" customWidth="1"/>
    <col min="11" max="11" width="11.42578125" style="4"/>
    <col min="12" max="12" width="18.85546875" style="4" customWidth="1"/>
    <col min="13" max="13" width="7.7109375" style="4" customWidth="1"/>
    <col min="14" max="14" width="9.140625" style="4" customWidth="1"/>
    <col min="15" max="15" width="11.42578125" style="4"/>
    <col min="16" max="16" width="20.28515625" style="4" customWidth="1"/>
    <col min="17" max="17" width="24.8554687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291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288</v>
      </c>
      <c r="C6" s="12" t="s">
        <v>5</v>
      </c>
      <c r="D6" s="13">
        <v>21.7</v>
      </c>
      <c r="E6" s="13">
        <v>21.7</v>
      </c>
      <c r="F6" s="13">
        <v>21.2</v>
      </c>
      <c r="G6" s="13">
        <f>SUM(D6:F6)</f>
        <v>64.599999999999994</v>
      </c>
      <c r="H6" s="14">
        <v>23</v>
      </c>
      <c r="I6" s="13">
        <f>2.9+2.9+2.8+3.9+4+3.8</f>
        <v>20.3</v>
      </c>
      <c r="J6" s="13">
        <f>2.6+2.6+2.6+3.6+3.7+3.5</f>
        <v>18.600000000000001</v>
      </c>
      <c r="K6" s="13">
        <f>SUM(I6:J6)</f>
        <v>38.900000000000006</v>
      </c>
      <c r="L6" s="14">
        <v>18</v>
      </c>
      <c r="M6" s="13">
        <f>2.8+2.8+2.8+3.7+3.9+3.7</f>
        <v>19.7</v>
      </c>
      <c r="N6" s="13">
        <f>2.8+2.9+2.5+3.7+3.9+3.6</f>
        <v>19.399999999999999</v>
      </c>
      <c r="O6" s="13">
        <f>M6+N6</f>
        <v>39.099999999999994</v>
      </c>
      <c r="P6" s="14">
        <v>23</v>
      </c>
      <c r="Q6" s="15">
        <f t="shared" ref="Q6:Q15" si="0">H6+L6+P6</f>
        <v>64</v>
      </c>
    </row>
    <row r="7" spans="1:17" x14ac:dyDescent="0.25">
      <c r="A7" s="12">
        <v>2</v>
      </c>
      <c r="B7" s="12" t="s">
        <v>289</v>
      </c>
      <c r="C7" s="12" t="s">
        <v>5</v>
      </c>
      <c r="D7" s="13">
        <v>20.8</v>
      </c>
      <c r="E7" s="13">
        <v>20.2</v>
      </c>
      <c r="F7" s="13">
        <v>19.7</v>
      </c>
      <c r="G7" s="13">
        <f>SUM(D7:F7)</f>
        <v>60.7</v>
      </c>
      <c r="H7" s="14">
        <v>18</v>
      </c>
      <c r="I7" s="13">
        <f>2.7+2.7+2.7+3.7+3.8+3.7</f>
        <v>19.3</v>
      </c>
      <c r="J7" s="13">
        <f>2.6+2.6+2.6+3.6+3.6+3.2</f>
        <v>18.2</v>
      </c>
      <c r="K7" s="13">
        <f>SUM(I7:J7)</f>
        <v>37.5</v>
      </c>
      <c r="L7" s="14">
        <v>13</v>
      </c>
      <c r="M7" s="13">
        <f>2.7+2.8+2.8+3.6+3.8+3.7</f>
        <v>19.399999999999999</v>
      </c>
      <c r="N7" s="13">
        <f>2.7+2.7+2.6+3.7+3.7+3.7</f>
        <v>19.099999999999998</v>
      </c>
      <c r="O7" s="13">
        <f>M7+N7</f>
        <v>38.5</v>
      </c>
      <c r="P7" s="14">
        <v>18</v>
      </c>
      <c r="Q7" s="15">
        <f t="shared" si="0"/>
        <v>49</v>
      </c>
    </row>
    <row r="8" spans="1:17" x14ac:dyDescent="0.25">
      <c r="A8" s="12">
        <v>3</v>
      </c>
      <c r="B8" s="16" t="s">
        <v>560</v>
      </c>
      <c r="C8" s="12" t="s">
        <v>67</v>
      </c>
      <c r="D8" s="13"/>
      <c r="E8" s="13"/>
      <c r="F8" s="13"/>
      <c r="G8" s="13"/>
      <c r="H8" s="14"/>
      <c r="I8" s="13">
        <f>2.9+2.9+2.9+4+3.9+4</f>
        <v>20.599999999999998</v>
      </c>
      <c r="J8" s="13">
        <f>2.7+2.6+2.5+3.5+3.7+3.6</f>
        <v>18.600000000000001</v>
      </c>
      <c r="K8" s="13">
        <f>SUM(I8:J8)</f>
        <v>39.200000000000003</v>
      </c>
      <c r="L8" s="14">
        <v>23</v>
      </c>
      <c r="M8" s="13">
        <f>2.7+2.8+2.8+3.6+3.8+3.7</f>
        <v>19.399999999999999</v>
      </c>
      <c r="N8" s="13">
        <f>2.6+2.5+2.6+3.6+3.5+3.6</f>
        <v>18.399999999999999</v>
      </c>
      <c r="O8" s="13">
        <f>M8+N8</f>
        <v>37.799999999999997</v>
      </c>
      <c r="P8" s="14">
        <v>13</v>
      </c>
      <c r="Q8" s="15">
        <f t="shared" si="0"/>
        <v>36</v>
      </c>
    </row>
    <row r="9" spans="1:17" x14ac:dyDescent="0.25">
      <c r="A9" s="12">
        <v>4</v>
      </c>
      <c r="B9" s="16" t="s">
        <v>561</v>
      </c>
      <c r="C9" s="12" t="s">
        <v>95</v>
      </c>
      <c r="D9" s="13"/>
      <c r="E9" s="13"/>
      <c r="F9" s="13"/>
      <c r="G9" s="13"/>
      <c r="H9" s="14"/>
      <c r="I9" s="13">
        <f>2.6+2.6+2.6+3.6+3.7+3.7</f>
        <v>18.8</v>
      </c>
      <c r="J9" s="13">
        <f>2.3+2.5+2.4+3.2+3.5+3.4</f>
        <v>17.299999999999997</v>
      </c>
      <c r="K9" s="13">
        <f>SUM(I9:J9)</f>
        <v>36.099999999999994</v>
      </c>
      <c r="L9" s="14">
        <v>3</v>
      </c>
      <c r="M9" s="13">
        <f>2.4+2.5+2.5+3.4+3.5+3.4</f>
        <v>17.7</v>
      </c>
      <c r="N9" s="13">
        <f>2.6+2.5+2.3+3.6+3.4+3.3</f>
        <v>17.7</v>
      </c>
      <c r="O9" s="13">
        <f>M9+N9</f>
        <v>35.4</v>
      </c>
      <c r="P9" s="14">
        <v>13</v>
      </c>
      <c r="Q9" s="15">
        <f t="shared" si="0"/>
        <v>16</v>
      </c>
    </row>
    <row r="10" spans="1:17" x14ac:dyDescent="0.25">
      <c r="A10" s="12">
        <v>5</v>
      </c>
      <c r="B10" s="16" t="s">
        <v>559</v>
      </c>
      <c r="C10" s="12" t="s">
        <v>6</v>
      </c>
      <c r="D10" s="13"/>
      <c r="E10" s="13"/>
      <c r="F10" s="13"/>
      <c r="G10" s="13"/>
      <c r="H10" s="14"/>
      <c r="I10" s="13">
        <f>2.8+2.8+2.7+3.7+3.6+3.6</f>
        <v>19.2</v>
      </c>
      <c r="J10" s="13">
        <f>2.5+2.4+2.4+3.4+3.4+3.3</f>
        <v>17.400000000000002</v>
      </c>
      <c r="K10" s="13">
        <f>SUM(I10:J10)</f>
        <v>36.6</v>
      </c>
      <c r="L10" s="14">
        <v>13</v>
      </c>
      <c r="M10" s="13"/>
      <c r="N10" s="13"/>
      <c r="O10" s="13"/>
      <c r="P10" s="14"/>
      <c r="Q10" s="15">
        <f t="shared" si="0"/>
        <v>13</v>
      </c>
    </row>
    <row r="11" spans="1:17" x14ac:dyDescent="0.25">
      <c r="A11" s="12">
        <v>7</v>
      </c>
      <c r="B11" s="12" t="s">
        <v>287</v>
      </c>
      <c r="C11" s="12" t="s">
        <v>67</v>
      </c>
      <c r="D11" s="13">
        <v>20.100000000000001</v>
      </c>
      <c r="E11" s="13">
        <v>19.100000000000001</v>
      </c>
      <c r="F11" s="13">
        <v>19.2</v>
      </c>
      <c r="G11" s="13">
        <f>SUM(D11:F11)</f>
        <v>58.400000000000006</v>
      </c>
      <c r="H11" s="14">
        <v>13</v>
      </c>
      <c r="I11" s="13"/>
      <c r="J11" s="13"/>
      <c r="K11" s="13"/>
      <c r="L11" s="14"/>
      <c r="M11" s="13"/>
      <c r="N11" s="13"/>
      <c r="O11" s="13"/>
      <c r="P11" s="14"/>
      <c r="Q11" s="15">
        <f t="shared" si="0"/>
        <v>13</v>
      </c>
    </row>
    <row r="12" spans="1:17" x14ac:dyDescent="0.25">
      <c r="A12" s="12">
        <v>8</v>
      </c>
      <c r="B12" s="12" t="s">
        <v>290</v>
      </c>
      <c r="C12" s="12" t="s">
        <v>5</v>
      </c>
      <c r="D12" s="13">
        <v>19.8</v>
      </c>
      <c r="E12" s="13">
        <v>18.899999999999999</v>
      </c>
      <c r="F12" s="13">
        <v>19.3</v>
      </c>
      <c r="G12" s="13">
        <f>SUM(D12:F12)</f>
        <v>58</v>
      </c>
      <c r="H12" s="14">
        <v>3</v>
      </c>
      <c r="I12" s="13">
        <f>2.6+2.6+2.6+3.5+3.7+3.6</f>
        <v>18.600000000000001</v>
      </c>
      <c r="J12" s="13">
        <f>2.3+2.2+2.3+3.3+3.1+3.1</f>
        <v>16.3</v>
      </c>
      <c r="K12" s="13">
        <f>SUM(I12:J12)</f>
        <v>34.900000000000006</v>
      </c>
      <c r="L12" s="14">
        <v>3</v>
      </c>
      <c r="M12" s="13">
        <f>2.4+2.5+2.6+3.4+3.6+3.5</f>
        <v>18</v>
      </c>
      <c r="N12" s="13">
        <f>2.4+2.3+2.4+3.4+3.2+3.4</f>
        <v>17.099999999999998</v>
      </c>
      <c r="O12" s="13">
        <f>M12+N12</f>
        <v>35.099999999999994</v>
      </c>
      <c r="P12" s="14">
        <v>3</v>
      </c>
      <c r="Q12" s="15">
        <f t="shared" si="0"/>
        <v>9</v>
      </c>
    </row>
    <row r="13" spans="1:17" x14ac:dyDescent="0.25">
      <c r="A13" s="12">
        <v>9</v>
      </c>
      <c r="B13" s="16" t="s">
        <v>563</v>
      </c>
      <c r="C13" s="12" t="s">
        <v>493</v>
      </c>
      <c r="D13" s="13"/>
      <c r="E13" s="13"/>
      <c r="F13" s="13"/>
      <c r="G13" s="13"/>
      <c r="H13" s="14"/>
      <c r="I13" s="13">
        <f>2.4+2.5+2.5+3.5+3.6+3.6</f>
        <v>18.100000000000001</v>
      </c>
      <c r="J13" s="13">
        <f>2.2+2.3+2.3+3.3+3.2+3.2</f>
        <v>16.5</v>
      </c>
      <c r="K13" s="13">
        <f>SUM(I13:J13)</f>
        <v>34.6</v>
      </c>
      <c r="L13" s="14">
        <v>3</v>
      </c>
      <c r="M13" s="13"/>
      <c r="N13" s="13"/>
      <c r="O13" s="13"/>
      <c r="P13" s="14"/>
      <c r="Q13" s="15">
        <f t="shared" si="0"/>
        <v>3</v>
      </c>
    </row>
    <row r="14" spans="1:17" x14ac:dyDescent="0.25">
      <c r="A14" s="12">
        <v>10</v>
      </c>
      <c r="B14" s="16" t="s">
        <v>562</v>
      </c>
      <c r="C14" s="12" t="s">
        <v>493</v>
      </c>
      <c r="D14" s="13"/>
      <c r="E14" s="13"/>
      <c r="F14" s="13"/>
      <c r="G14" s="13"/>
      <c r="H14" s="14"/>
      <c r="I14" s="13">
        <f>2.4+2.4+2.4+3.5+3.5+3.5</f>
        <v>17.7</v>
      </c>
      <c r="J14" s="13">
        <f>2.3+2.3+2.4+3.3+3.3+3.2</f>
        <v>16.8</v>
      </c>
      <c r="K14" s="13">
        <f>SUM(I14:J14)</f>
        <v>34.5</v>
      </c>
      <c r="L14" s="14">
        <v>3</v>
      </c>
      <c r="M14" s="13"/>
      <c r="N14" s="13"/>
      <c r="O14" s="13"/>
      <c r="P14" s="14"/>
      <c r="Q14" s="15">
        <f t="shared" si="0"/>
        <v>3</v>
      </c>
    </row>
    <row r="15" spans="1:17" x14ac:dyDescent="0.25">
      <c r="A15" s="12">
        <v>11</v>
      </c>
      <c r="B15" s="16" t="s">
        <v>564</v>
      </c>
      <c r="C15" s="12" t="s">
        <v>444</v>
      </c>
      <c r="D15" s="13"/>
      <c r="E15" s="13"/>
      <c r="F15" s="13"/>
      <c r="G15" s="13"/>
      <c r="H15" s="14"/>
      <c r="I15" s="13">
        <f>2.5+2.4+2.5+3.6+3.5+3.5</f>
        <v>18</v>
      </c>
      <c r="J15" s="13">
        <f>2.1+2+2+3.1+3+3</f>
        <v>15.2</v>
      </c>
      <c r="K15" s="13">
        <f>SUM(I15:J15)</f>
        <v>33.200000000000003</v>
      </c>
      <c r="L15" s="14">
        <v>3</v>
      </c>
      <c r="M15" s="13"/>
      <c r="N15" s="13"/>
      <c r="O15" s="13"/>
      <c r="P15" s="14"/>
      <c r="Q15" s="15">
        <f t="shared" si="0"/>
        <v>3</v>
      </c>
    </row>
    <row r="16" spans="1:17" x14ac:dyDescent="0.2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4:17" x14ac:dyDescent="0.2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</sheetData>
  <sortState ref="B4:Q13">
    <sortCondition descending="1" ref="Q4:Q13"/>
  </sortState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18.85546875" style="4" bestFit="1" customWidth="1"/>
    <col min="4" max="5" width="7.42578125" style="4" customWidth="1"/>
    <col min="6" max="6" width="7" style="4" customWidth="1"/>
    <col min="7" max="7" width="11.85546875" style="4" bestFit="1" customWidth="1"/>
    <col min="8" max="8" width="17.85546875" style="4" customWidth="1"/>
    <col min="9" max="9" width="7.5703125" style="4" customWidth="1"/>
    <col min="10" max="10" width="7.85546875" style="4" customWidth="1"/>
    <col min="11" max="11" width="11.42578125" style="4"/>
    <col min="12" max="12" width="18" style="4" customWidth="1"/>
    <col min="13" max="13" width="8.28515625" style="4" customWidth="1"/>
    <col min="14" max="14" width="7.5703125" style="4" customWidth="1"/>
    <col min="15" max="15" width="11.42578125" style="4"/>
    <col min="16" max="16" width="18.42578125" style="4" customWidth="1"/>
    <col min="17" max="17" width="23.42578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312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305</v>
      </c>
      <c r="C6" s="12" t="s">
        <v>69</v>
      </c>
      <c r="D6" s="13">
        <v>21.2</v>
      </c>
      <c r="E6" s="13">
        <v>19</v>
      </c>
      <c r="F6" s="13">
        <v>20.399999999999999</v>
      </c>
      <c r="G6" s="13">
        <f>SUM(D6:F6)</f>
        <v>60.6</v>
      </c>
      <c r="H6" s="14">
        <v>23</v>
      </c>
      <c r="I6" s="13">
        <f>3.1+3.1+3+4.2+4.2+4</f>
        <v>21.599999999999998</v>
      </c>
      <c r="J6" s="13">
        <f>2.8+3+2.7+3.7+3.9+3.8</f>
        <v>19.899999999999999</v>
      </c>
      <c r="K6" s="13">
        <f>SUM(I6:J6)</f>
        <v>41.5</v>
      </c>
      <c r="L6" s="14">
        <v>23</v>
      </c>
      <c r="M6" s="13">
        <f>2.9+2.8+2.8+3.7+3.8+3.8</f>
        <v>19.8</v>
      </c>
      <c r="N6" s="13">
        <f>2.7+2.7+2.8+3.8+3.6+3.8</f>
        <v>19.399999999999999</v>
      </c>
      <c r="O6" s="13">
        <f>M6+N6</f>
        <v>39.200000000000003</v>
      </c>
      <c r="P6" s="14">
        <v>23</v>
      </c>
      <c r="Q6" s="15">
        <f t="shared" ref="Q6:Q24" si="0">H6+L6+P6</f>
        <v>69</v>
      </c>
    </row>
    <row r="7" spans="1:17" x14ac:dyDescent="0.25">
      <c r="A7" s="12">
        <v>2</v>
      </c>
      <c r="B7" s="16" t="s">
        <v>555</v>
      </c>
      <c r="C7" s="12" t="s">
        <v>397</v>
      </c>
      <c r="D7" s="13"/>
      <c r="E7" s="13"/>
      <c r="F7" s="13"/>
      <c r="G7" s="13"/>
      <c r="H7" s="14"/>
      <c r="I7" s="13">
        <f>2.7+2.7+2.7+3.7+3.7+3.8</f>
        <v>19.3</v>
      </c>
      <c r="J7" s="13">
        <f>2.6+2.7+2.6+3.4+3.6+3.6</f>
        <v>18.5</v>
      </c>
      <c r="K7" s="13">
        <f>SUM(I7:J7)</f>
        <v>37.799999999999997</v>
      </c>
      <c r="L7" s="14">
        <v>13</v>
      </c>
      <c r="M7" s="13">
        <f>2.8+2.8+2.8+3.8+3.7+3.7</f>
        <v>19.599999999999998</v>
      </c>
      <c r="N7" s="13">
        <f>2.8+2.8+2.6+3.7+3.8+3.5</f>
        <v>19.2</v>
      </c>
      <c r="O7" s="13">
        <f>M7+N7</f>
        <v>38.799999999999997</v>
      </c>
      <c r="P7" s="14">
        <v>18</v>
      </c>
      <c r="Q7" s="15">
        <f t="shared" si="0"/>
        <v>31</v>
      </c>
    </row>
    <row r="8" spans="1:17" x14ac:dyDescent="0.25">
      <c r="A8" s="12">
        <v>3</v>
      </c>
      <c r="B8" s="16" t="s">
        <v>557</v>
      </c>
      <c r="C8" s="12" t="s">
        <v>171</v>
      </c>
      <c r="D8" s="13"/>
      <c r="E8" s="13"/>
      <c r="F8" s="13"/>
      <c r="G8" s="13"/>
      <c r="H8" s="14"/>
      <c r="I8" s="13">
        <f>2.9+3+2.9+4+3.9+3.9</f>
        <v>20.599999999999998</v>
      </c>
      <c r="J8" s="13">
        <f>2.6+2.5+2.5+3.3+3.5+3.4</f>
        <v>17.799999999999997</v>
      </c>
      <c r="K8" s="13">
        <f>SUM(I8:J8)</f>
        <v>38.399999999999991</v>
      </c>
      <c r="L8" s="14">
        <v>13</v>
      </c>
      <c r="M8" s="13">
        <f>2.8+2.8+2.8+3.7+3.7+3.7</f>
        <v>19.499999999999996</v>
      </c>
      <c r="N8" s="13">
        <f>2.6+2.5+2.5+3.6+3.5+3.4</f>
        <v>18.099999999999998</v>
      </c>
      <c r="O8" s="13">
        <f>M8+N8</f>
        <v>37.599999999999994</v>
      </c>
      <c r="P8" s="14">
        <v>13</v>
      </c>
      <c r="Q8" s="15">
        <f t="shared" si="0"/>
        <v>26</v>
      </c>
    </row>
    <row r="9" spans="1:17" x14ac:dyDescent="0.25">
      <c r="A9" s="12">
        <v>4</v>
      </c>
      <c r="B9" s="12" t="s">
        <v>549</v>
      </c>
      <c r="C9" s="12" t="s">
        <v>5</v>
      </c>
      <c r="D9" s="13">
        <v>19.3</v>
      </c>
      <c r="E9" s="13">
        <v>17.2</v>
      </c>
      <c r="F9" s="13">
        <v>16</v>
      </c>
      <c r="G9" s="13">
        <f t="shared" ref="G9:G14" si="1">SUM(D9:F9)</f>
        <v>52.5</v>
      </c>
      <c r="H9" s="14">
        <v>3</v>
      </c>
      <c r="I9" s="13">
        <f>3+2.9+3+4+4+4.1</f>
        <v>21</v>
      </c>
      <c r="J9" s="13">
        <f>2.7+2.7+2.6+3.4+3.7+3.6</f>
        <v>18.700000000000003</v>
      </c>
      <c r="K9" s="13">
        <f>SUM(I9:J9)</f>
        <v>39.700000000000003</v>
      </c>
      <c r="L9" s="14">
        <v>18</v>
      </c>
      <c r="M9" s="13">
        <f>2.8+2.8+2.7+3.6+3.6+3.6</f>
        <v>19.100000000000001</v>
      </c>
      <c r="N9" s="13">
        <f>2.5+2.6+2.5+3.5+3.5+3.6</f>
        <v>18.2</v>
      </c>
      <c r="O9" s="13">
        <f>M9+N9</f>
        <v>37.299999999999997</v>
      </c>
      <c r="P9" s="14">
        <v>3</v>
      </c>
      <c r="Q9" s="15">
        <f t="shared" si="0"/>
        <v>24</v>
      </c>
    </row>
    <row r="10" spans="1:17" x14ac:dyDescent="0.25">
      <c r="A10" s="12">
        <v>5</v>
      </c>
      <c r="B10" s="12" t="s">
        <v>307</v>
      </c>
      <c r="C10" s="12" t="s">
        <v>29</v>
      </c>
      <c r="D10" s="13">
        <v>18</v>
      </c>
      <c r="E10" s="13">
        <v>16.8</v>
      </c>
      <c r="F10" s="13">
        <v>15.2</v>
      </c>
      <c r="G10" s="13">
        <f t="shared" si="1"/>
        <v>50</v>
      </c>
      <c r="H10" s="14">
        <v>3</v>
      </c>
      <c r="I10" s="13">
        <f>2.7+2.9+2.7+3.8+3.8+3.8</f>
        <v>19.700000000000003</v>
      </c>
      <c r="J10" s="13">
        <f>2.5+2.4+2.4+3.3+3.4+3.1</f>
        <v>17.100000000000001</v>
      </c>
      <c r="K10" s="13">
        <f>SUM(I10:J10)</f>
        <v>36.800000000000004</v>
      </c>
      <c r="L10" s="14">
        <v>3</v>
      </c>
      <c r="M10" s="13">
        <f>2.9+2.8+2.8+3.9+3.8+3.6</f>
        <v>19.8</v>
      </c>
      <c r="N10" s="13">
        <f>2.5+2.7+2.5+3.6+3.6+3.5</f>
        <v>18.399999999999999</v>
      </c>
      <c r="O10" s="13">
        <f>M10+N10</f>
        <v>38.200000000000003</v>
      </c>
      <c r="P10" s="14">
        <v>13</v>
      </c>
      <c r="Q10" s="15">
        <f t="shared" si="0"/>
        <v>19</v>
      </c>
    </row>
    <row r="11" spans="1:17" x14ac:dyDescent="0.25">
      <c r="A11" s="12">
        <v>6</v>
      </c>
      <c r="B11" s="12" t="s">
        <v>300</v>
      </c>
      <c r="C11" s="12" t="s">
        <v>9</v>
      </c>
      <c r="D11" s="13">
        <v>21</v>
      </c>
      <c r="E11" s="13">
        <v>18.399999999999999</v>
      </c>
      <c r="F11" s="13">
        <v>20.7</v>
      </c>
      <c r="G11" s="13">
        <f t="shared" si="1"/>
        <v>60.099999999999994</v>
      </c>
      <c r="H11" s="14">
        <v>18</v>
      </c>
      <c r="I11" s="13"/>
      <c r="J11" s="13"/>
      <c r="K11" s="13"/>
      <c r="L11" s="14"/>
      <c r="M11" s="13"/>
      <c r="N11" s="13"/>
      <c r="O11" s="13"/>
      <c r="P11" s="14"/>
      <c r="Q11" s="15">
        <f t="shared" si="0"/>
        <v>18</v>
      </c>
    </row>
    <row r="12" spans="1:17" x14ac:dyDescent="0.25">
      <c r="A12" s="12">
        <v>7</v>
      </c>
      <c r="B12" s="12" t="s">
        <v>302</v>
      </c>
      <c r="C12" s="12" t="s">
        <v>9</v>
      </c>
      <c r="D12" s="13">
        <v>20.2</v>
      </c>
      <c r="E12" s="13">
        <v>19.3</v>
      </c>
      <c r="F12" s="13">
        <v>19.3</v>
      </c>
      <c r="G12" s="13">
        <f t="shared" si="1"/>
        <v>58.8</v>
      </c>
      <c r="H12" s="14">
        <v>13</v>
      </c>
      <c r="I12" s="13"/>
      <c r="J12" s="13"/>
      <c r="K12" s="13"/>
      <c r="L12" s="14"/>
      <c r="M12" s="13"/>
      <c r="N12" s="13"/>
      <c r="O12" s="13"/>
      <c r="P12" s="14"/>
      <c r="Q12" s="15">
        <f t="shared" si="0"/>
        <v>13</v>
      </c>
    </row>
    <row r="13" spans="1:17" x14ac:dyDescent="0.25">
      <c r="A13" s="12">
        <v>8</v>
      </c>
      <c r="B13" s="12" t="s">
        <v>301</v>
      </c>
      <c r="C13" s="12" t="s">
        <v>9</v>
      </c>
      <c r="D13" s="13">
        <v>18.5</v>
      </c>
      <c r="E13" s="13">
        <v>18.5</v>
      </c>
      <c r="F13" s="13">
        <v>21</v>
      </c>
      <c r="G13" s="13">
        <f t="shared" si="1"/>
        <v>58</v>
      </c>
      <c r="H13" s="14">
        <v>13</v>
      </c>
      <c r="I13" s="13"/>
      <c r="J13" s="13"/>
      <c r="K13" s="13"/>
      <c r="L13" s="14"/>
      <c r="M13" s="13"/>
      <c r="N13" s="13"/>
      <c r="O13" s="13"/>
      <c r="P13" s="14"/>
      <c r="Q13" s="15">
        <f t="shared" si="0"/>
        <v>13</v>
      </c>
    </row>
    <row r="14" spans="1:17" x14ac:dyDescent="0.25">
      <c r="A14" s="12">
        <v>9</v>
      </c>
      <c r="B14" s="12" t="s">
        <v>303</v>
      </c>
      <c r="C14" s="12" t="s">
        <v>304</v>
      </c>
      <c r="D14" s="13">
        <v>17</v>
      </c>
      <c r="E14" s="13">
        <v>15.6</v>
      </c>
      <c r="F14" s="13">
        <v>15.2</v>
      </c>
      <c r="G14" s="13">
        <f t="shared" si="1"/>
        <v>47.8</v>
      </c>
      <c r="H14" s="14">
        <v>3</v>
      </c>
      <c r="I14" s="13">
        <f>2.4+2.4+2.4+3.4+3.5+3.4</f>
        <v>17.5</v>
      </c>
      <c r="J14" s="13">
        <f>2.2+2.2+2.1+3.3+3.2+3</f>
        <v>16</v>
      </c>
      <c r="K14" s="13">
        <f>SUM(I14:J14)</f>
        <v>33.5</v>
      </c>
      <c r="L14" s="14">
        <v>3</v>
      </c>
      <c r="M14" s="13">
        <f>2.5+2.5+2.6+3.6+3.6+3.6</f>
        <v>18.399999999999999</v>
      </c>
      <c r="N14" s="13">
        <f>2.3+2.2+2.2+3.2+3.2+3.2</f>
        <v>16.3</v>
      </c>
      <c r="O14" s="13">
        <f>M14+N14</f>
        <v>34.700000000000003</v>
      </c>
      <c r="P14" s="14">
        <v>3</v>
      </c>
      <c r="Q14" s="15">
        <f t="shared" si="0"/>
        <v>9</v>
      </c>
    </row>
    <row r="15" spans="1:17" x14ac:dyDescent="0.25">
      <c r="A15" s="12">
        <v>10</v>
      </c>
      <c r="B15" s="16" t="s">
        <v>554</v>
      </c>
      <c r="C15" s="12" t="s">
        <v>82</v>
      </c>
      <c r="D15" s="13"/>
      <c r="E15" s="13"/>
      <c r="F15" s="13"/>
      <c r="G15" s="13"/>
      <c r="H15" s="14"/>
      <c r="I15" s="13">
        <f>2.6+2.6+2.6+3.5+3.5+3.6</f>
        <v>18.400000000000002</v>
      </c>
      <c r="J15" s="13">
        <f>2.4+2.4+2.4+3.4+3.3+3.5</f>
        <v>17.399999999999999</v>
      </c>
      <c r="K15" s="13">
        <f>SUM(I15:J15)</f>
        <v>35.799999999999997</v>
      </c>
      <c r="L15" s="14">
        <v>3</v>
      </c>
      <c r="M15" s="13">
        <f>2.7+2.8+2.7+3.6+3.5+3.6</f>
        <v>18.899999999999999</v>
      </c>
      <c r="N15" s="13">
        <f>2.4+2.5+2.4+3.3+3.5+3.4</f>
        <v>17.5</v>
      </c>
      <c r="O15" s="13">
        <f>M15+N15</f>
        <v>36.4</v>
      </c>
      <c r="P15" s="14">
        <v>3</v>
      </c>
      <c r="Q15" s="15">
        <f t="shared" si="0"/>
        <v>6</v>
      </c>
    </row>
    <row r="16" spans="1:17" x14ac:dyDescent="0.25">
      <c r="A16" s="12">
        <v>11</v>
      </c>
      <c r="B16" s="16" t="s">
        <v>558</v>
      </c>
      <c r="C16" s="12" t="s">
        <v>493</v>
      </c>
      <c r="D16" s="13"/>
      <c r="E16" s="13"/>
      <c r="F16" s="13"/>
      <c r="G16" s="13"/>
      <c r="H16" s="14"/>
      <c r="I16" s="13">
        <f>2.5+2.7+2.7+3.6+3.7+3.6</f>
        <v>18.8</v>
      </c>
      <c r="J16" s="13">
        <f>2.6+2.5+2.4+3.6+3.6+3.4</f>
        <v>18.099999999999998</v>
      </c>
      <c r="K16" s="13">
        <f>SUM(I16:J16)</f>
        <v>36.9</v>
      </c>
      <c r="L16" s="14">
        <v>3</v>
      </c>
      <c r="M16" s="13">
        <f>2.6+2.7+2.7+3.6+3.8+3.5</f>
        <v>18.899999999999999</v>
      </c>
      <c r="N16" s="13">
        <f>2.4+2.4+2.3+3.5+3.4+3.3</f>
        <v>17.3</v>
      </c>
      <c r="O16" s="13">
        <f>M16+N16</f>
        <v>36.200000000000003</v>
      </c>
      <c r="P16" s="14">
        <v>3</v>
      </c>
      <c r="Q16" s="15">
        <f t="shared" si="0"/>
        <v>6</v>
      </c>
    </row>
    <row r="17" spans="1:17" x14ac:dyDescent="0.25">
      <c r="A17" s="12">
        <v>12</v>
      </c>
      <c r="B17" s="16" t="s">
        <v>553</v>
      </c>
      <c r="C17" s="12" t="s">
        <v>493</v>
      </c>
      <c r="D17" s="13"/>
      <c r="E17" s="13"/>
      <c r="F17" s="13"/>
      <c r="G17" s="13"/>
      <c r="H17" s="14"/>
      <c r="I17" s="13">
        <f>2.4+2.5+2.5+3.4+3.5+3.5</f>
        <v>17.8</v>
      </c>
      <c r="J17" s="13">
        <f>2.3+2.3+2.3+3.4+3.4+3.3</f>
        <v>17</v>
      </c>
      <c r="K17" s="13">
        <f>SUM(I17:J17)</f>
        <v>34.799999999999997</v>
      </c>
      <c r="L17" s="14">
        <v>3</v>
      </c>
      <c r="M17" s="13">
        <f>2.5+2.6+2.6+3.5+3.6+3.5</f>
        <v>18.299999999999997</v>
      </c>
      <c r="N17" s="13">
        <f>2.4+2.3+2.2+3.4+3.3+3.2</f>
        <v>16.799999999999997</v>
      </c>
      <c r="O17" s="13">
        <f>M17+N17</f>
        <v>35.099999999999994</v>
      </c>
      <c r="P17" s="14">
        <v>3</v>
      </c>
      <c r="Q17" s="15">
        <f t="shared" si="0"/>
        <v>6</v>
      </c>
    </row>
    <row r="18" spans="1:17" x14ac:dyDescent="0.25">
      <c r="A18" s="12">
        <v>13</v>
      </c>
      <c r="B18" s="16" t="s">
        <v>725</v>
      </c>
      <c r="C18" s="12" t="s">
        <v>677</v>
      </c>
      <c r="D18" s="13"/>
      <c r="E18" s="13"/>
      <c r="F18" s="13"/>
      <c r="G18" s="13"/>
      <c r="H18" s="14"/>
      <c r="I18" s="13"/>
      <c r="J18" s="13"/>
      <c r="K18" s="13"/>
      <c r="L18" s="14"/>
      <c r="M18" s="13">
        <f>2.4+2.6+2.6+3.4+3.5+3.5</f>
        <v>18</v>
      </c>
      <c r="N18" s="13">
        <f>2.5+2.3+2.3+3.4+3.3+3.2</f>
        <v>17</v>
      </c>
      <c r="O18" s="13">
        <f>M18+N18</f>
        <v>35</v>
      </c>
      <c r="P18" s="14">
        <v>3</v>
      </c>
      <c r="Q18" s="15">
        <f t="shared" si="0"/>
        <v>3</v>
      </c>
    </row>
    <row r="19" spans="1:17" x14ac:dyDescent="0.25">
      <c r="A19" s="12">
        <v>14</v>
      </c>
      <c r="B19" s="16" t="s">
        <v>550</v>
      </c>
      <c r="C19" s="12" t="s">
        <v>444</v>
      </c>
      <c r="D19" s="13"/>
      <c r="E19" s="13"/>
      <c r="F19" s="13"/>
      <c r="G19" s="13"/>
      <c r="H19" s="14"/>
      <c r="I19" s="13">
        <f>2.4+2.4+2.4+3.4+3.4+3.4</f>
        <v>17.399999999999999</v>
      </c>
      <c r="J19" s="13">
        <f>2.3+2.3+2.3+3.3+3.2+3.2</f>
        <v>16.599999999999998</v>
      </c>
      <c r="K19" s="13">
        <f>SUM(I19:J19)</f>
        <v>34</v>
      </c>
      <c r="L19" s="14">
        <v>3</v>
      </c>
      <c r="M19" s="13"/>
      <c r="N19" s="13"/>
      <c r="O19" s="13"/>
      <c r="P19" s="14"/>
      <c r="Q19" s="15">
        <f t="shared" si="0"/>
        <v>3</v>
      </c>
    </row>
    <row r="20" spans="1:17" x14ac:dyDescent="0.25">
      <c r="A20" s="12">
        <v>15</v>
      </c>
      <c r="B20" s="16" t="s">
        <v>551</v>
      </c>
      <c r="C20" s="12" t="s">
        <v>444</v>
      </c>
      <c r="D20" s="13"/>
      <c r="E20" s="13"/>
      <c r="F20" s="13"/>
      <c r="G20" s="13"/>
      <c r="H20" s="14"/>
      <c r="I20" s="13">
        <f>2.5+2.5+2.5+3.5+3.5+3.5</f>
        <v>18</v>
      </c>
      <c r="J20" s="13">
        <f>2.2+2.1+2.2+3.2+3.1+3.2</f>
        <v>16</v>
      </c>
      <c r="K20" s="13">
        <f>SUM(I20:J20)</f>
        <v>34</v>
      </c>
      <c r="L20" s="14">
        <v>3</v>
      </c>
      <c r="M20" s="13"/>
      <c r="N20" s="13"/>
      <c r="O20" s="13"/>
      <c r="P20" s="14"/>
      <c r="Q20" s="15">
        <f t="shared" si="0"/>
        <v>3</v>
      </c>
    </row>
    <row r="21" spans="1:17" x14ac:dyDescent="0.25">
      <c r="A21" s="12">
        <v>16</v>
      </c>
      <c r="B21" s="12" t="s">
        <v>308</v>
      </c>
      <c r="C21" s="12" t="s">
        <v>67</v>
      </c>
      <c r="D21" s="13">
        <v>19.8</v>
      </c>
      <c r="E21" s="13">
        <v>18.7</v>
      </c>
      <c r="F21" s="13">
        <v>16.8</v>
      </c>
      <c r="G21" s="13">
        <f>SUM(D21:F21)</f>
        <v>55.3</v>
      </c>
      <c r="H21" s="14">
        <v>3</v>
      </c>
      <c r="I21" s="13"/>
      <c r="J21" s="13"/>
      <c r="K21" s="13"/>
      <c r="L21" s="14"/>
      <c r="M21" s="13"/>
      <c r="N21" s="13"/>
      <c r="O21" s="13"/>
      <c r="P21" s="14"/>
      <c r="Q21" s="15">
        <f t="shared" si="0"/>
        <v>3</v>
      </c>
    </row>
    <row r="22" spans="1:17" x14ac:dyDescent="0.25">
      <c r="A22" s="12">
        <v>17</v>
      </c>
      <c r="B22" s="12" t="s">
        <v>306</v>
      </c>
      <c r="C22" s="12" t="s">
        <v>69</v>
      </c>
      <c r="D22" s="13">
        <v>19.3</v>
      </c>
      <c r="E22" s="13">
        <v>17.8</v>
      </c>
      <c r="F22" s="13">
        <v>17.8</v>
      </c>
      <c r="G22" s="13">
        <f>SUM(D22:F22)</f>
        <v>54.900000000000006</v>
      </c>
      <c r="H22" s="14">
        <v>3</v>
      </c>
      <c r="I22" s="13"/>
      <c r="J22" s="13"/>
      <c r="K22" s="13"/>
      <c r="L22" s="14"/>
      <c r="M22" s="13"/>
      <c r="N22" s="13"/>
      <c r="O22" s="13"/>
      <c r="P22" s="14"/>
      <c r="Q22" s="15">
        <f t="shared" si="0"/>
        <v>3</v>
      </c>
    </row>
    <row r="23" spans="1:17" x14ac:dyDescent="0.25">
      <c r="A23" s="12">
        <v>18</v>
      </c>
      <c r="B23" s="12" t="s">
        <v>309</v>
      </c>
      <c r="C23" s="12" t="s">
        <v>120</v>
      </c>
      <c r="D23" s="13">
        <v>18.899999999999999</v>
      </c>
      <c r="E23" s="13">
        <v>17.600000000000001</v>
      </c>
      <c r="F23" s="13">
        <v>15.9</v>
      </c>
      <c r="G23" s="13">
        <f>SUM(D23:F23)</f>
        <v>52.4</v>
      </c>
      <c r="H23" s="14">
        <v>3</v>
      </c>
      <c r="I23" s="13"/>
      <c r="J23" s="13"/>
      <c r="K23" s="13"/>
      <c r="L23" s="14"/>
      <c r="M23" s="13"/>
      <c r="N23" s="13"/>
      <c r="O23" s="13"/>
      <c r="P23" s="14"/>
      <c r="Q23" s="15">
        <f t="shared" si="0"/>
        <v>3</v>
      </c>
    </row>
    <row r="24" spans="1:17" x14ac:dyDescent="0.25">
      <c r="A24" s="12">
        <v>19</v>
      </c>
      <c r="B24" s="12" t="s">
        <v>310</v>
      </c>
      <c r="C24" s="12" t="s">
        <v>311</v>
      </c>
      <c r="D24" s="13">
        <v>16.8</v>
      </c>
      <c r="E24" s="13">
        <v>17.100000000000001</v>
      </c>
      <c r="F24" s="13">
        <v>16</v>
      </c>
      <c r="G24" s="13">
        <f>SUM(D24:F24)</f>
        <v>49.900000000000006</v>
      </c>
      <c r="H24" s="14">
        <v>3</v>
      </c>
      <c r="I24" s="13"/>
      <c r="J24" s="13"/>
      <c r="K24" s="13"/>
      <c r="L24" s="14"/>
      <c r="M24" s="13"/>
      <c r="N24" s="13"/>
      <c r="O24" s="13"/>
      <c r="P24" s="14"/>
      <c r="Q24" s="15">
        <f t="shared" si="0"/>
        <v>3</v>
      </c>
    </row>
    <row r="25" spans="1:17" x14ac:dyDescent="0.25">
      <c r="A25" s="12">
        <v>20</v>
      </c>
      <c r="B25" s="16" t="s">
        <v>552</v>
      </c>
      <c r="C25" s="12" t="s">
        <v>50</v>
      </c>
      <c r="D25" s="13"/>
      <c r="E25" s="13"/>
      <c r="F25" s="13"/>
      <c r="G25" s="13"/>
      <c r="H25" s="14"/>
      <c r="I25" s="13"/>
      <c r="J25" s="13"/>
      <c r="K25" s="13"/>
      <c r="L25" s="14"/>
      <c r="M25" s="13"/>
      <c r="N25" s="13"/>
      <c r="O25" s="13"/>
      <c r="P25" s="14"/>
      <c r="Q25" s="15"/>
    </row>
    <row r="26" spans="1:17" x14ac:dyDescent="0.25">
      <c r="A26" s="12">
        <v>21</v>
      </c>
      <c r="B26" s="16" t="s">
        <v>556</v>
      </c>
      <c r="C26" s="12" t="s">
        <v>426</v>
      </c>
      <c r="D26" s="13"/>
      <c r="E26" s="13"/>
      <c r="F26" s="13"/>
      <c r="G26" s="13"/>
      <c r="H26" s="14"/>
      <c r="I26" s="13"/>
      <c r="J26" s="13"/>
      <c r="K26" s="13"/>
      <c r="L26" s="14"/>
      <c r="M26" s="13"/>
      <c r="N26" s="13"/>
      <c r="O26" s="13"/>
      <c r="P26" s="14"/>
      <c r="Q26" s="15"/>
    </row>
  </sheetData>
  <sortState ref="B4:Q24">
    <sortCondition descending="1" ref="Q4:Q24"/>
  </sortState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18.85546875" style="4" bestFit="1" customWidth="1"/>
    <col min="4" max="4" width="7.42578125" style="4" customWidth="1"/>
    <col min="5" max="5" width="6.85546875" style="4" customWidth="1"/>
    <col min="6" max="6" width="6.42578125" style="4" customWidth="1"/>
    <col min="7" max="7" width="11.85546875" style="4" bestFit="1" customWidth="1"/>
    <col min="8" max="8" width="18.42578125" style="4" customWidth="1"/>
    <col min="9" max="9" width="7.42578125" style="4" customWidth="1"/>
    <col min="10" max="10" width="7.28515625" style="4" customWidth="1"/>
    <col min="11" max="11" width="11.42578125" style="4"/>
    <col min="12" max="12" width="18.7109375" style="4" customWidth="1"/>
    <col min="13" max="13" width="7.7109375" style="4" customWidth="1"/>
    <col min="14" max="14" width="7.42578125" style="4" customWidth="1"/>
    <col min="15" max="15" width="12.7109375" style="4" customWidth="1"/>
    <col min="16" max="16" width="19.28515625" style="4" customWidth="1"/>
    <col min="17" max="17" width="23.42578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299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297</v>
      </c>
      <c r="C6" s="12" t="s">
        <v>95</v>
      </c>
      <c r="D6" s="13">
        <v>24.1</v>
      </c>
      <c r="E6" s="13">
        <v>24.3</v>
      </c>
      <c r="F6" s="13">
        <v>22.7</v>
      </c>
      <c r="G6" s="13">
        <f>SUM(D6:F6)</f>
        <v>71.100000000000009</v>
      </c>
      <c r="H6" s="14">
        <v>23</v>
      </c>
      <c r="I6" s="13">
        <f>2.8+2.8+2.7+3.7+3.7+3.8</f>
        <v>19.5</v>
      </c>
      <c r="J6" s="13">
        <f>2.8+2.7+2.9+4.3+4.4+4.6</f>
        <v>21.700000000000003</v>
      </c>
      <c r="K6" s="13">
        <f t="shared" ref="K6:K11" si="0">SUM(I6:J6)</f>
        <v>41.2</v>
      </c>
      <c r="L6" s="14">
        <v>18</v>
      </c>
      <c r="M6" s="13">
        <f>2.6+2.7+2.7+3.7+3.7+3.6</f>
        <v>19</v>
      </c>
      <c r="N6" s="13">
        <f>2.8+2.8+2.8+3.9+3.8+3.8</f>
        <v>19.899999999999999</v>
      </c>
      <c r="O6" s="13">
        <f>M6+N6</f>
        <v>38.9</v>
      </c>
      <c r="P6" s="14">
        <v>23</v>
      </c>
      <c r="Q6" s="15">
        <f t="shared" ref="Q6:Q20" si="1">H6+L6+P6</f>
        <v>64</v>
      </c>
    </row>
    <row r="7" spans="1:17" x14ac:dyDescent="0.25">
      <c r="A7" s="12">
        <v>2</v>
      </c>
      <c r="B7" s="12" t="s">
        <v>296</v>
      </c>
      <c r="C7" s="12" t="s">
        <v>95</v>
      </c>
      <c r="D7" s="13">
        <v>22.6</v>
      </c>
      <c r="E7" s="13">
        <v>21.1</v>
      </c>
      <c r="F7" s="13">
        <v>21</v>
      </c>
      <c r="G7" s="13">
        <f>SUM(D7:F7)</f>
        <v>64.7</v>
      </c>
      <c r="H7" s="14">
        <v>18</v>
      </c>
      <c r="I7" s="13">
        <f>2.7+2.7+2.6+3.5+3.6+3.6</f>
        <v>18.7</v>
      </c>
      <c r="J7" s="13">
        <f>2.6+2.6+2.6+4.2+4.1+4.3</f>
        <v>20.400000000000002</v>
      </c>
      <c r="K7" s="13">
        <f t="shared" si="0"/>
        <v>39.1</v>
      </c>
      <c r="L7" s="14">
        <v>13</v>
      </c>
      <c r="M7" s="13">
        <f>2.5+2.5+2.4+3.6+3.5+3.4</f>
        <v>17.899999999999999</v>
      </c>
      <c r="N7" s="13">
        <f>2.5+2.5+2.5+3.6+3.5+3.5</f>
        <v>18.100000000000001</v>
      </c>
      <c r="O7" s="13">
        <f>M7+N7</f>
        <v>36</v>
      </c>
      <c r="P7" s="14">
        <v>3</v>
      </c>
      <c r="Q7" s="15">
        <f t="shared" si="1"/>
        <v>34</v>
      </c>
    </row>
    <row r="8" spans="1:17" x14ac:dyDescent="0.25">
      <c r="A8" s="12">
        <v>3</v>
      </c>
      <c r="B8" s="12" t="s">
        <v>295</v>
      </c>
      <c r="C8" s="12" t="s">
        <v>69</v>
      </c>
      <c r="D8" s="13">
        <v>21.3</v>
      </c>
      <c r="E8" s="13">
        <v>21.5</v>
      </c>
      <c r="F8" s="13">
        <v>18</v>
      </c>
      <c r="G8" s="13">
        <f>SUM(D8:F8)</f>
        <v>60.8</v>
      </c>
      <c r="H8" s="14">
        <v>13</v>
      </c>
      <c r="I8" s="13">
        <f>2.6+2.6+2.6+3.4+3.5+3.5</f>
        <v>18.200000000000003</v>
      </c>
      <c r="J8" s="13">
        <f>2.8+2.7+2.5+4.3+4.2+4.1</f>
        <v>20.6</v>
      </c>
      <c r="K8" s="13">
        <f t="shared" si="0"/>
        <v>38.800000000000004</v>
      </c>
      <c r="L8" s="14">
        <v>13</v>
      </c>
      <c r="M8" s="13">
        <f>2.5+2.5+2.4+3.5+3.4+3.3</f>
        <v>17.600000000000001</v>
      </c>
      <c r="N8" s="13">
        <f>2.4+2.5+2.5+3.5+3.5+3.5</f>
        <v>17.899999999999999</v>
      </c>
      <c r="O8" s="13">
        <f>M8+N8</f>
        <v>35.5</v>
      </c>
      <c r="P8" s="14">
        <v>3</v>
      </c>
      <c r="Q8" s="15">
        <f t="shared" si="1"/>
        <v>29</v>
      </c>
    </row>
    <row r="9" spans="1:17" x14ac:dyDescent="0.25">
      <c r="A9" s="12">
        <v>4</v>
      </c>
      <c r="B9" s="16" t="s">
        <v>568</v>
      </c>
      <c r="C9" s="12" t="s">
        <v>444</v>
      </c>
      <c r="D9" s="13"/>
      <c r="E9" s="13"/>
      <c r="F9" s="13"/>
      <c r="G9" s="13"/>
      <c r="H9" s="14"/>
      <c r="I9" s="13">
        <f>2.5+2.5+2.5+3.5+3.5+3.1</f>
        <v>17.600000000000001</v>
      </c>
      <c r="J9" s="13">
        <f>3.2+3+3+5.9+5.3+5.3</f>
        <v>25.7</v>
      </c>
      <c r="K9" s="13">
        <f t="shared" si="0"/>
        <v>43.3</v>
      </c>
      <c r="L9" s="14">
        <v>23</v>
      </c>
      <c r="M9" s="13"/>
      <c r="N9" s="13"/>
      <c r="O9" s="13"/>
      <c r="P9" s="14"/>
      <c r="Q9" s="15">
        <f t="shared" si="1"/>
        <v>23</v>
      </c>
    </row>
    <row r="10" spans="1:17" x14ac:dyDescent="0.25">
      <c r="A10" s="12">
        <v>5</v>
      </c>
      <c r="B10" s="16" t="s">
        <v>566</v>
      </c>
      <c r="C10" s="12" t="s">
        <v>493</v>
      </c>
      <c r="D10" s="13"/>
      <c r="E10" s="13"/>
      <c r="F10" s="13"/>
      <c r="G10" s="13"/>
      <c r="H10" s="14"/>
      <c r="I10" s="13">
        <f>2.6+2.6+2.7+3.4+3.5+3.5</f>
        <v>18.3</v>
      </c>
      <c r="J10" s="13">
        <f>2.4+2.4+2.6+3.9+4+4</f>
        <v>19.3</v>
      </c>
      <c r="K10" s="13">
        <f t="shared" si="0"/>
        <v>37.6</v>
      </c>
      <c r="L10" s="14">
        <v>3</v>
      </c>
      <c r="M10" s="13">
        <f>2.4+2.3+2.2+3.5+3.4+3.2</f>
        <v>17</v>
      </c>
      <c r="N10" s="13">
        <f>2.6+2.5+2.5+2.5+3.5+3.6+3.5</f>
        <v>20.7</v>
      </c>
      <c r="O10" s="13">
        <f>M10+N10</f>
        <v>37.700000000000003</v>
      </c>
      <c r="P10" s="14">
        <v>18</v>
      </c>
      <c r="Q10" s="15">
        <f t="shared" si="1"/>
        <v>21</v>
      </c>
    </row>
    <row r="11" spans="1:17" x14ac:dyDescent="0.25">
      <c r="A11" s="12">
        <v>6</v>
      </c>
      <c r="B11" s="16" t="s">
        <v>565</v>
      </c>
      <c r="C11" s="12" t="s">
        <v>95</v>
      </c>
      <c r="D11" s="13"/>
      <c r="E11" s="13"/>
      <c r="F11" s="13"/>
      <c r="G11" s="13"/>
      <c r="H11" s="14"/>
      <c r="I11" s="13">
        <f>2.6+2.6+2.6+3.5+3.5+3.7</f>
        <v>18.5</v>
      </c>
      <c r="J11" s="13">
        <f>2.6+2.6+2.7+4.1+4.1+4.2</f>
        <v>20.3</v>
      </c>
      <c r="K11" s="13">
        <f t="shared" si="0"/>
        <v>38.799999999999997</v>
      </c>
      <c r="L11" s="14">
        <v>3</v>
      </c>
      <c r="M11" s="13">
        <f>2.4+2.5+2.5+3.5+3.5+3.4</f>
        <v>17.8</v>
      </c>
      <c r="N11" s="13">
        <f>2.7+2.6+2.7+3.7+3.7+3.7</f>
        <v>19.099999999999998</v>
      </c>
      <c r="O11" s="13">
        <f>M11+N11</f>
        <v>36.9</v>
      </c>
      <c r="P11" s="14">
        <v>13</v>
      </c>
      <c r="Q11" s="15">
        <f t="shared" si="1"/>
        <v>16</v>
      </c>
    </row>
    <row r="12" spans="1:17" x14ac:dyDescent="0.25">
      <c r="A12" s="12">
        <v>7</v>
      </c>
      <c r="B12" s="16" t="s">
        <v>728</v>
      </c>
      <c r="C12" s="12" t="s">
        <v>698</v>
      </c>
      <c r="D12" s="13"/>
      <c r="E12" s="13"/>
      <c r="F12" s="13"/>
      <c r="G12" s="13"/>
      <c r="H12" s="14"/>
      <c r="I12" s="13"/>
      <c r="J12" s="13"/>
      <c r="K12" s="13"/>
      <c r="L12" s="14"/>
      <c r="M12" s="13">
        <f>2.6+2.6+2.5+3.6+3.6+3.6</f>
        <v>18.5</v>
      </c>
      <c r="N12" s="13">
        <f>2.5+2.6+2.5+3.5+3.6+3.6</f>
        <v>18.3</v>
      </c>
      <c r="O12" s="13">
        <f>M12+N12</f>
        <v>36.799999999999997</v>
      </c>
      <c r="P12" s="14">
        <v>13</v>
      </c>
      <c r="Q12" s="15">
        <f t="shared" si="1"/>
        <v>13</v>
      </c>
    </row>
    <row r="13" spans="1:17" x14ac:dyDescent="0.25">
      <c r="A13" s="12">
        <v>8</v>
      </c>
      <c r="B13" s="12" t="s">
        <v>294</v>
      </c>
      <c r="C13" s="12" t="s">
        <v>15</v>
      </c>
      <c r="D13" s="13">
        <v>22.2</v>
      </c>
      <c r="E13" s="13">
        <v>19.399999999999999</v>
      </c>
      <c r="F13" s="13">
        <v>19.600000000000001</v>
      </c>
      <c r="G13" s="13">
        <f>SUM(D13:F13)</f>
        <v>61.199999999999996</v>
      </c>
      <c r="H13" s="14">
        <v>13</v>
      </c>
      <c r="I13" s="13"/>
      <c r="J13" s="13"/>
      <c r="K13" s="13"/>
      <c r="L13" s="14"/>
      <c r="M13" s="13"/>
      <c r="N13" s="13"/>
      <c r="O13" s="13"/>
      <c r="P13" s="14"/>
      <c r="Q13" s="15">
        <f t="shared" si="1"/>
        <v>13</v>
      </c>
    </row>
    <row r="14" spans="1:17" x14ac:dyDescent="0.25">
      <c r="A14" s="12">
        <v>9</v>
      </c>
      <c r="B14" s="12" t="s">
        <v>293</v>
      </c>
      <c r="C14" s="12" t="s">
        <v>5</v>
      </c>
      <c r="D14" s="13">
        <v>21.7</v>
      </c>
      <c r="E14" s="13">
        <v>19.399999999999999</v>
      </c>
      <c r="F14" s="13">
        <v>18.8</v>
      </c>
      <c r="G14" s="13">
        <f>SUM(D14:F14)</f>
        <v>59.899999999999991</v>
      </c>
      <c r="H14" s="14">
        <v>3</v>
      </c>
      <c r="I14" s="13">
        <f>2.5+2.5+2.6+3.3+3.3+3.3</f>
        <v>17.5</v>
      </c>
      <c r="J14" s="13">
        <f>2.7+2.6+2.5+4.3+4.2+4.1</f>
        <v>20.399999999999999</v>
      </c>
      <c r="K14" s="13">
        <f>SUM(I14:J14)</f>
        <v>37.9</v>
      </c>
      <c r="L14" s="14">
        <v>3</v>
      </c>
      <c r="M14" s="13">
        <f>2.4+2.4+2.4+3.5+3.3+3.3</f>
        <v>17.3</v>
      </c>
      <c r="N14" s="13">
        <f>2.6+2.5+2.6+3.6+3.6+3.6</f>
        <v>18.5</v>
      </c>
      <c r="O14" s="13">
        <f>M14+N14</f>
        <v>35.799999999999997</v>
      </c>
      <c r="P14" s="14">
        <v>3</v>
      </c>
      <c r="Q14" s="15">
        <f t="shared" si="1"/>
        <v>9</v>
      </c>
    </row>
    <row r="15" spans="1:17" x14ac:dyDescent="0.25">
      <c r="A15" s="12">
        <v>10</v>
      </c>
      <c r="B15" s="12" t="s">
        <v>298</v>
      </c>
      <c r="C15" s="12" t="s">
        <v>57</v>
      </c>
      <c r="D15" s="13">
        <v>20.100000000000001</v>
      </c>
      <c r="E15" s="13">
        <v>18</v>
      </c>
      <c r="F15" s="13">
        <v>18.899999999999999</v>
      </c>
      <c r="G15" s="13">
        <f>SUM(D15:F15)</f>
        <v>57</v>
      </c>
      <c r="H15" s="14">
        <v>3</v>
      </c>
      <c r="I15" s="13"/>
      <c r="J15" s="13"/>
      <c r="K15" s="13"/>
      <c r="L15" s="14"/>
      <c r="M15" s="13">
        <f>2.2+2.3+2.3+3.2+3.3+3.3</f>
        <v>16.600000000000001</v>
      </c>
      <c r="N15" s="13">
        <f>2.5+2.6+2.4+3.5+3.6+3.5</f>
        <v>18.100000000000001</v>
      </c>
      <c r="O15" s="13">
        <f>M15+N15</f>
        <v>34.700000000000003</v>
      </c>
      <c r="P15" s="14">
        <v>3</v>
      </c>
      <c r="Q15" s="15">
        <f t="shared" si="1"/>
        <v>6</v>
      </c>
    </row>
    <row r="16" spans="1:17" x14ac:dyDescent="0.25">
      <c r="A16" s="12">
        <v>11</v>
      </c>
      <c r="B16" s="16" t="s">
        <v>727</v>
      </c>
      <c r="C16" s="12" t="s">
        <v>57</v>
      </c>
      <c r="D16" s="13"/>
      <c r="E16" s="13"/>
      <c r="F16" s="13"/>
      <c r="G16" s="13"/>
      <c r="H16" s="14"/>
      <c r="I16" s="13"/>
      <c r="J16" s="13"/>
      <c r="K16" s="13"/>
      <c r="L16" s="14"/>
      <c r="M16" s="13">
        <f>2.5+2.4+2.3+3.2+3.3+3.3</f>
        <v>17</v>
      </c>
      <c r="N16" s="13">
        <f>2.4+2.6+2.6+3.5+3.6+3.5</f>
        <v>18.2</v>
      </c>
      <c r="O16" s="13">
        <f>M16+N16</f>
        <v>35.200000000000003</v>
      </c>
      <c r="P16" s="14">
        <v>3</v>
      </c>
      <c r="Q16" s="15">
        <f t="shared" si="1"/>
        <v>3</v>
      </c>
    </row>
    <row r="17" spans="1:17" x14ac:dyDescent="0.25">
      <c r="A17" s="12">
        <v>12</v>
      </c>
      <c r="B17" s="16" t="s">
        <v>726</v>
      </c>
      <c r="C17" s="12" t="s">
        <v>704</v>
      </c>
      <c r="D17" s="13"/>
      <c r="E17" s="13"/>
      <c r="F17" s="13"/>
      <c r="G17" s="13"/>
      <c r="H17" s="14"/>
      <c r="I17" s="13"/>
      <c r="J17" s="13"/>
      <c r="K17" s="13"/>
      <c r="L17" s="14"/>
      <c r="M17" s="13">
        <f>2.3+2.3+2.3+3.4+3.4+3.3</f>
        <v>17</v>
      </c>
      <c r="N17" s="13">
        <f>2.4+2.5+2.4+3.4+3.5+3.5</f>
        <v>17.700000000000003</v>
      </c>
      <c r="O17" s="13">
        <f>M17+N17</f>
        <v>34.700000000000003</v>
      </c>
      <c r="P17" s="14">
        <v>3</v>
      </c>
      <c r="Q17" s="15">
        <f t="shared" si="1"/>
        <v>3</v>
      </c>
    </row>
    <row r="18" spans="1:17" x14ac:dyDescent="0.25">
      <c r="A18" s="12">
        <v>13</v>
      </c>
      <c r="B18" s="16" t="s">
        <v>569</v>
      </c>
      <c r="C18" s="12" t="s">
        <v>444</v>
      </c>
      <c r="D18" s="13"/>
      <c r="E18" s="13"/>
      <c r="F18" s="13"/>
      <c r="G18" s="13"/>
      <c r="H18" s="14"/>
      <c r="I18" s="13">
        <f>2.5+2.5+2.5+3.3+3.4+3.4</f>
        <v>17.600000000000001</v>
      </c>
      <c r="J18" s="13">
        <f>2.4+2.2+2.3+3.9+3.8+3.8</f>
        <v>18.399999999999999</v>
      </c>
      <c r="K18" s="13">
        <f>SUM(I18:J18)</f>
        <v>36</v>
      </c>
      <c r="L18" s="14">
        <v>3</v>
      </c>
      <c r="M18" s="13"/>
      <c r="N18" s="13"/>
      <c r="O18" s="13"/>
      <c r="P18" s="14"/>
      <c r="Q18" s="15">
        <f t="shared" si="1"/>
        <v>3</v>
      </c>
    </row>
    <row r="19" spans="1:17" x14ac:dyDescent="0.25">
      <c r="A19" s="12">
        <v>14</v>
      </c>
      <c r="B19" s="16" t="s">
        <v>567</v>
      </c>
      <c r="C19" s="12" t="s">
        <v>493</v>
      </c>
      <c r="D19" s="13"/>
      <c r="E19" s="13"/>
      <c r="F19" s="13"/>
      <c r="G19" s="13"/>
      <c r="H19" s="14"/>
      <c r="I19" s="13">
        <f>2.5+2.5+2.5+3.3+3.4+3.5</f>
        <v>17.700000000000003</v>
      </c>
      <c r="J19" s="13">
        <f>2.2+2.3+2.2+3.7+3.9+3.9</f>
        <v>18.2</v>
      </c>
      <c r="K19" s="13">
        <f>SUM(I19:J19)</f>
        <v>35.900000000000006</v>
      </c>
      <c r="L19" s="14">
        <v>3</v>
      </c>
      <c r="M19" s="13"/>
      <c r="N19" s="13"/>
      <c r="O19" s="13"/>
      <c r="P19" s="14"/>
      <c r="Q19" s="15">
        <f t="shared" si="1"/>
        <v>3</v>
      </c>
    </row>
    <row r="20" spans="1:17" x14ac:dyDescent="0.25">
      <c r="A20" s="12">
        <v>15</v>
      </c>
      <c r="B20" s="12" t="s">
        <v>292</v>
      </c>
      <c r="C20" s="12" t="s">
        <v>67</v>
      </c>
      <c r="D20" s="13">
        <v>22.1</v>
      </c>
      <c r="E20" s="13">
        <v>19.600000000000001</v>
      </c>
      <c r="F20" s="13">
        <v>17.600000000000001</v>
      </c>
      <c r="G20" s="13">
        <f>SUM(D20:F20)</f>
        <v>59.300000000000004</v>
      </c>
      <c r="H20" s="14">
        <v>3</v>
      </c>
      <c r="I20" s="13"/>
      <c r="J20" s="13"/>
      <c r="K20" s="13"/>
      <c r="L20" s="14"/>
      <c r="M20" s="13"/>
      <c r="N20" s="13"/>
      <c r="O20" s="13"/>
      <c r="P20" s="14"/>
      <c r="Q20" s="15">
        <f t="shared" si="1"/>
        <v>3</v>
      </c>
    </row>
    <row r="21" spans="1:17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</sheetData>
  <sortState ref="B4:Q18">
    <sortCondition descending="1" ref="Q4:Q18"/>
  </sortState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5.85546875" customWidth="1"/>
    <col min="5" max="5" width="6.42578125" customWidth="1"/>
    <col min="6" max="6" width="6" customWidth="1"/>
    <col min="7" max="7" width="11.85546875" bestFit="1" customWidth="1"/>
    <col min="8" max="8" width="18.42578125" customWidth="1"/>
    <col min="9" max="9" width="6.85546875" customWidth="1"/>
    <col min="10" max="10" width="6.42578125" customWidth="1"/>
    <col min="12" max="12" width="18.85546875" customWidth="1"/>
    <col min="13" max="13" width="7.7109375" customWidth="1"/>
    <col min="14" max="14" width="7.5703125" customWidth="1"/>
    <col min="16" max="16" width="19.140625" customWidth="1"/>
    <col min="17" max="17" width="23.140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320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30" t="s">
        <v>582</v>
      </c>
      <c r="C6" s="28" t="s">
        <v>95</v>
      </c>
      <c r="D6" s="29"/>
      <c r="E6" s="29"/>
      <c r="F6" s="29"/>
      <c r="G6" s="29"/>
      <c r="H6" s="31"/>
      <c r="I6" s="29">
        <f>2.8+2.9+2.7+4.6+4.6+4.2</f>
        <v>21.799999999999997</v>
      </c>
      <c r="J6" s="29">
        <f>2.8+2.9+2.7+4.7+4.8+4.8</f>
        <v>22.7</v>
      </c>
      <c r="K6" s="29">
        <f>SUM(I6:J6)</f>
        <v>44.5</v>
      </c>
      <c r="L6" s="31">
        <v>23</v>
      </c>
      <c r="M6" s="29">
        <f>2.6+2.6+2.7+3.6+3.6+3.6</f>
        <v>18.7</v>
      </c>
      <c r="N6" s="29">
        <f>2.7+2.7+2.8+3.7+3.7+3.8</f>
        <v>19.399999999999999</v>
      </c>
      <c r="O6" s="29">
        <f t="shared" ref="O6:O23" si="0">M6+N6</f>
        <v>38.099999999999994</v>
      </c>
      <c r="P6" s="31">
        <v>23</v>
      </c>
      <c r="Q6" s="32">
        <f t="shared" ref="Q6:Q29" si="1">H6+L6+P6</f>
        <v>46</v>
      </c>
    </row>
    <row r="7" spans="1:17" x14ac:dyDescent="0.25">
      <c r="A7" s="28">
        <v>2</v>
      </c>
      <c r="B7" s="28" t="s">
        <v>315</v>
      </c>
      <c r="C7" s="28" t="s">
        <v>5</v>
      </c>
      <c r="D7" s="29">
        <v>20</v>
      </c>
      <c r="E7" s="29">
        <v>18.2</v>
      </c>
      <c r="F7" s="29">
        <v>18.8</v>
      </c>
      <c r="G7" s="29">
        <f>SUM(D7:F7)</f>
        <v>57</v>
      </c>
      <c r="H7" s="31">
        <v>18</v>
      </c>
      <c r="I7" s="29">
        <f>2.6+2.8+2.8+4.4+4.5+4.3</f>
        <v>21.400000000000002</v>
      </c>
      <c r="J7" s="29">
        <f>2.6+2.7+2.7+4.7+4.8+4.7</f>
        <v>22.2</v>
      </c>
      <c r="K7" s="29">
        <f>SUM(I7:J7)</f>
        <v>43.6</v>
      </c>
      <c r="L7" s="31">
        <v>13</v>
      </c>
      <c r="M7" s="29">
        <f>2.5+2.5+2.5+3.5+3.5+3.5</f>
        <v>18</v>
      </c>
      <c r="N7" s="29">
        <f>2.6+2.5+2.5+3.6+3.5+3.6</f>
        <v>18.3</v>
      </c>
      <c r="O7" s="29">
        <f t="shared" si="0"/>
        <v>36.299999999999997</v>
      </c>
      <c r="P7" s="31">
        <v>3</v>
      </c>
      <c r="Q7" s="32">
        <f t="shared" si="1"/>
        <v>34</v>
      </c>
    </row>
    <row r="8" spans="1:17" x14ac:dyDescent="0.25">
      <c r="A8" s="28">
        <v>3</v>
      </c>
      <c r="B8" s="30" t="s">
        <v>578</v>
      </c>
      <c r="C8" s="28" t="s">
        <v>82</v>
      </c>
      <c r="D8" s="29"/>
      <c r="E8" s="29"/>
      <c r="F8" s="29"/>
      <c r="G8" s="29"/>
      <c r="H8" s="31"/>
      <c r="I8" s="29">
        <f>2.5+2.6+2.9+4.2+4.4+4.5</f>
        <v>21.1</v>
      </c>
      <c r="J8" s="29">
        <f>2.7+2.7+2.7+4.9+4.8+4.8</f>
        <v>22.6</v>
      </c>
      <c r="K8" s="29">
        <f>SUM(I8:J8)</f>
        <v>43.7</v>
      </c>
      <c r="L8" s="31">
        <v>18</v>
      </c>
      <c r="M8" s="29">
        <f>2.6+2.6+2.6+3.7+3.7+3.7</f>
        <v>18.899999999999999</v>
      </c>
      <c r="N8" s="29">
        <f>2.3+2.4+2.3+3.6+3.4+3.6</f>
        <v>17.600000000000001</v>
      </c>
      <c r="O8" s="29">
        <f t="shared" si="0"/>
        <v>36.5</v>
      </c>
      <c r="P8" s="31">
        <v>13</v>
      </c>
      <c r="Q8" s="32">
        <f t="shared" si="1"/>
        <v>31</v>
      </c>
    </row>
    <row r="9" spans="1:17" x14ac:dyDescent="0.25">
      <c r="A9" s="28">
        <v>4</v>
      </c>
      <c r="B9" s="28" t="s">
        <v>318</v>
      </c>
      <c r="C9" s="28" t="s">
        <v>29</v>
      </c>
      <c r="D9" s="29">
        <v>19.7</v>
      </c>
      <c r="E9" s="29">
        <v>18.3</v>
      </c>
      <c r="F9" s="29">
        <v>19</v>
      </c>
      <c r="G9" s="29">
        <f>SUM(D9:F9)</f>
        <v>57</v>
      </c>
      <c r="H9" s="31">
        <v>13</v>
      </c>
      <c r="I9" s="29">
        <f>2.7+2.9+2.9+4.5+4.6+4.5</f>
        <v>22.1</v>
      </c>
      <c r="J9" s="29">
        <f>2.5+2.5+2.5+4.6+4.6+4.5</f>
        <v>21.2</v>
      </c>
      <c r="K9" s="29">
        <f>SUM(I9:J9)</f>
        <v>43.3</v>
      </c>
      <c r="L9" s="31">
        <v>13</v>
      </c>
      <c r="M9" s="29">
        <f>2.6+2.6+2.7+3.6+3.6+3.7</f>
        <v>18.8</v>
      </c>
      <c r="N9" s="29">
        <f>2.1+2+2.2+3.1+3.4+3.5</f>
        <v>16.3</v>
      </c>
      <c r="O9" s="29">
        <f t="shared" si="0"/>
        <v>35.1</v>
      </c>
      <c r="P9" s="31">
        <v>3</v>
      </c>
      <c r="Q9" s="32">
        <f t="shared" si="1"/>
        <v>29</v>
      </c>
    </row>
    <row r="10" spans="1:17" x14ac:dyDescent="0.25">
      <c r="A10" s="28">
        <v>5</v>
      </c>
      <c r="B10" s="28" t="s">
        <v>314</v>
      </c>
      <c r="C10" s="28" t="s">
        <v>9</v>
      </c>
      <c r="D10" s="29">
        <v>20</v>
      </c>
      <c r="E10" s="29">
        <v>18.7</v>
      </c>
      <c r="F10" s="29">
        <v>19.2</v>
      </c>
      <c r="G10" s="29">
        <f>SUM(D10:F10)</f>
        <v>57.900000000000006</v>
      </c>
      <c r="H10" s="31">
        <v>23</v>
      </c>
      <c r="I10" s="29"/>
      <c r="J10" s="29"/>
      <c r="K10" s="29"/>
      <c r="L10" s="31"/>
      <c r="M10" s="29">
        <f>2.5+2.6+2.5+3.5+3.6+3.6</f>
        <v>18.3</v>
      </c>
      <c r="N10" s="29">
        <f>2.3+2.5+2.5+3.3+3.5+3.6</f>
        <v>17.7</v>
      </c>
      <c r="O10" s="29">
        <f t="shared" si="0"/>
        <v>36</v>
      </c>
      <c r="P10" s="31">
        <v>3</v>
      </c>
      <c r="Q10" s="32">
        <f t="shared" si="1"/>
        <v>26</v>
      </c>
    </row>
    <row r="11" spans="1:17" x14ac:dyDescent="0.25">
      <c r="A11" s="28">
        <v>6</v>
      </c>
      <c r="B11" s="28" t="s">
        <v>316</v>
      </c>
      <c r="C11" s="28" t="s">
        <v>317</v>
      </c>
      <c r="D11" s="29">
        <v>18.7</v>
      </c>
      <c r="E11" s="29">
        <v>16.899999999999999</v>
      </c>
      <c r="F11" s="29">
        <v>17.3</v>
      </c>
      <c r="G11" s="29">
        <f>SUM(D11:F11)</f>
        <v>52.899999999999991</v>
      </c>
      <c r="H11" s="31">
        <v>13</v>
      </c>
      <c r="I11" s="29">
        <f>2.5+2.6+2.6+4.3+4.4+4.3</f>
        <v>20.7</v>
      </c>
      <c r="J11" s="29">
        <f>2.4+2.4+2.5+4.5+4.3+4.3</f>
        <v>20.400000000000002</v>
      </c>
      <c r="K11" s="29">
        <f>SUM(I11:J11)</f>
        <v>41.1</v>
      </c>
      <c r="L11" s="31">
        <v>3</v>
      </c>
      <c r="M11" s="29">
        <f>2.6+2.6+2.5+3.6+3.6+3.6</f>
        <v>18.5</v>
      </c>
      <c r="N11" s="29">
        <f>2.5+2.4+2.4+3.8+3.4+3.5</f>
        <v>18</v>
      </c>
      <c r="O11" s="29">
        <f t="shared" si="0"/>
        <v>36.5</v>
      </c>
      <c r="P11" s="31">
        <v>3</v>
      </c>
      <c r="Q11" s="32">
        <f t="shared" si="1"/>
        <v>19</v>
      </c>
    </row>
    <row r="12" spans="1:17" x14ac:dyDescent="0.25">
      <c r="A12" s="28">
        <v>7</v>
      </c>
      <c r="B12" s="30" t="s">
        <v>729</v>
      </c>
      <c r="C12" s="28" t="s">
        <v>9</v>
      </c>
      <c r="D12" s="29"/>
      <c r="E12" s="29"/>
      <c r="F12" s="29"/>
      <c r="G12" s="29"/>
      <c r="H12" s="31"/>
      <c r="I12" s="29"/>
      <c r="J12" s="29"/>
      <c r="K12" s="29"/>
      <c r="L12" s="31"/>
      <c r="M12" s="29">
        <f>2.6+2.6+2.6+3.6+3.6+3.6</f>
        <v>18.600000000000001</v>
      </c>
      <c r="N12" s="29">
        <f>2.4+2.7+2.7+3.5+3.5+3.7</f>
        <v>18.5</v>
      </c>
      <c r="O12" s="29">
        <f t="shared" si="0"/>
        <v>37.1</v>
      </c>
      <c r="P12" s="31">
        <v>18</v>
      </c>
      <c r="Q12" s="32">
        <f t="shared" si="1"/>
        <v>18</v>
      </c>
    </row>
    <row r="13" spans="1:17" x14ac:dyDescent="0.25">
      <c r="A13" s="28">
        <v>8</v>
      </c>
      <c r="B13" s="30" t="s">
        <v>583</v>
      </c>
      <c r="C13" s="28" t="s">
        <v>9</v>
      </c>
      <c r="D13" s="29"/>
      <c r="E13" s="29"/>
      <c r="F13" s="29"/>
      <c r="G13" s="29"/>
      <c r="H13" s="31"/>
      <c r="I13" s="29">
        <f>2.4+2.8+2.7+4.9+4.3+4.3</f>
        <v>21.400000000000002</v>
      </c>
      <c r="J13" s="29">
        <f>2.5+2.6+2.6+4.6+4.4+4.6</f>
        <v>21.299999999999997</v>
      </c>
      <c r="K13" s="29">
        <f t="shared" ref="K13:K26" si="2">SUM(I13:J13)</f>
        <v>42.7</v>
      </c>
      <c r="L13" s="31">
        <v>3</v>
      </c>
      <c r="M13" s="29">
        <f>2.7+2.6+2.7+3.6+3.6+3.5</f>
        <v>18.7</v>
      </c>
      <c r="N13" s="29">
        <f>2.6+2.5+2.4+3.7+3.6+3.6</f>
        <v>18.399999999999999</v>
      </c>
      <c r="O13" s="29">
        <f t="shared" si="0"/>
        <v>37.099999999999994</v>
      </c>
      <c r="P13" s="31">
        <v>13</v>
      </c>
      <c r="Q13" s="32">
        <f t="shared" si="1"/>
        <v>16</v>
      </c>
    </row>
    <row r="14" spans="1:17" x14ac:dyDescent="0.25">
      <c r="A14" s="28">
        <v>9</v>
      </c>
      <c r="B14" s="30" t="s">
        <v>580</v>
      </c>
      <c r="C14" s="28" t="s">
        <v>95</v>
      </c>
      <c r="D14" s="29"/>
      <c r="E14" s="29"/>
      <c r="F14" s="29"/>
      <c r="G14" s="29"/>
      <c r="H14" s="31"/>
      <c r="I14" s="29">
        <f>2.7+2.7+2.7+4.5+4.5+4.3</f>
        <v>21.400000000000002</v>
      </c>
      <c r="J14" s="29">
        <f>2.6+2.7+2.7+4.7+4.6+4.6</f>
        <v>21.9</v>
      </c>
      <c r="K14" s="29">
        <f t="shared" si="2"/>
        <v>43.3</v>
      </c>
      <c r="L14" s="31">
        <v>3</v>
      </c>
      <c r="M14" s="29">
        <f>2.7+2.5+2.6+3.6+3.5+3.5</f>
        <v>18.399999999999999</v>
      </c>
      <c r="N14" s="29">
        <f>2.5+2.3+2.4+3.6+3.3+3.6</f>
        <v>17.7</v>
      </c>
      <c r="O14" s="29">
        <f t="shared" si="0"/>
        <v>36.099999999999994</v>
      </c>
      <c r="P14" s="31">
        <v>3</v>
      </c>
      <c r="Q14" s="32">
        <f t="shared" si="1"/>
        <v>6</v>
      </c>
    </row>
    <row r="15" spans="1:17" x14ac:dyDescent="0.25">
      <c r="A15" s="28">
        <v>10</v>
      </c>
      <c r="B15" s="30" t="s">
        <v>584</v>
      </c>
      <c r="C15" s="28" t="s">
        <v>9</v>
      </c>
      <c r="D15" s="29"/>
      <c r="E15" s="29"/>
      <c r="F15" s="29"/>
      <c r="G15" s="29"/>
      <c r="H15" s="31"/>
      <c r="I15" s="29">
        <f>2.4+2.7+2.6+4.4+4.4+4.1</f>
        <v>20.6</v>
      </c>
      <c r="J15" s="29">
        <f>2.4+2.3+2.3+4.5+4.5+4.2</f>
        <v>20.2</v>
      </c>
      <c r="K15" s="29">
        <f t="shared" si="2"/>
        <v>40.799999999999997</v>
      </c>
      <c r="L15" s="31">
        <v>3</v>
      </c>
      <c r="M15" s="29">
        <f>2.6+2.6+2.6+3.6+3.6+3.6</f>
        <v>18.600000000000001</v>
      </c>
      <c r="N15" s="29">
        <f>2.3+2.3+2.2+3.4+3.4+3.3</f>
        <v>16.899999999999999</v>
      </c>
      <c r="O15" s="29">
        <f t="shared" si="0"/>
        <v>35.5</v>
      </c>
      <c r="P15" s="31">
        <v>3</v>
      </c>
      <c r="Q15" s="32">
        <f t="shared" si="1"/>
        <v>6</v>
      </c>
    </row>
    <row r="16" spans="1:17" x14ac:dyDescent="0.25">
      <c r="A16" s="28">
        <v>11</v>
      </c>
      <c r="B16" s="30" t="s">
        <v>574</v>
      </c>
      <c r="C16" s="28" t="s">
        <v>397</v>
      </c>
      <c r="D16" s="29"/>
      <c r="E16" s="29"/>
      <c r="F16" s="29"/>
      <c r="G16" s="29"/>
      <c r="H16" s="31"/>
      <c r="I16" s="29">
        <f>2.4+2.7+2.7+4.3+4.9+4.2</f>
        <v>21.2</v>
      </c>
      <c r="J16" s="29">
        <f>2.2+2.2+2.3+4.3+4.1+4.3</f>
        <v>19.399999999999999</v>
      </c>
      <c r="K16" s="29">
        <f t="shared" si="2"/>
        <v>40.599999999999994</v>
      </c>
      <c r="L16" s="31">
        <v>3</v>
      </c>
      <c r="M16" s="29">
        <f>2.6+2.6+2.6+3.6+3.6+3.6</f>
        <v>18.600000000000001</v>
      </c>
      <c r="N16" s="29">
        <f>2.3+2.3+2.3+3.5+3.2+3.3</f>
        <v>16.899999999999999</v>
      </c>
      <c r="O16" s="29">
        <f t="shared" si="0"/>
        <v>35.5</v>
      </c>
      <c r="P16" s="31">
        <v>3</v>
      </c>
      <c r="Q16" s="32">
        <f t="shared" si="1"/>
        <v>6</v>
      </c>
    </row>
    <row r="17" spans="1:17" x14ac:dyDescent="0.25">
      <c r="A17" s="28">
        <v>12</v>
      </c>
      <c r="B17" s="30" t="s">
        <v>575</v>
      </c>
      <c r="C17" s="28" t="s">
        <v>397</v>
      </c>
      <c r="D17" s="29"/>
      <c r="E17" s="29"/>
      <c r="F17" s="29"/>
      <c r="G17" s="29"/>
      <c r="H17" s="31"/>
      <c r="I17" s="29">
        <f>2.5+2.5+2.6+4.4+4.3+4</f>
        <v>20.3</v>
      </c>
      <c r="J17" s="29">
        <f>2.2+2.3+2.2+4.2+4.3+4.2</f>
        <v>19.399999999999999</v>
      </c>
      <c r="K17" s="29">
        <f t="shared" si="2"/>
        <v>39.700000000000003</v>
      </c>
      <c r="L17" s="31">
        <v>3</v>
      </c>
      <c r="M17" s="29">
        <f>2.5+2.4+2.5+3.6+3.6+3.6</f>
        <v>18.2</v>
      </c>
      <c r="N17" s="29">
        <f>2.3+2+2.3+3.3+3+3.7</f>
        <v>16.599999999999998</v>
      </c>
      <c r="O17" s="29">
        <f t="shared" si="0"/>
        <v>34.799999999999997</v>
      </c>
      <c r="P17" s="31">
        <v>3</v>
      </c>
      <c r="Q17" s="32">
        <f t="shared" si="1"/>
        <v>6</v>
      </c>
    </row>
    <row r="18" spans="1:17" x14ac:dyDescent="0.25">
      <c r="A18" s="28">
        <v>13</v>
      </c>
      <c r="B18" s="30" t="s">
        <v>577</v>
      </c>
      <c r="C18" s="28" t="s">
        <v>82</v>
      </c>
      <c r="D18" s="29"/>
      <c r="E18" s="29"/>
      <c r="F18" s="29"/>
      <c r="G18" s="29"/>
      <c r="H18" s="31"/>
      <c r="I18" s="29">
        <f>2.6+2.5+2.7+4.1+4.3+4.1</f>
        <v>20.299999999999997</v>
      </c>
      <c r="J18" s="29">
        <f>2.6+2.6+2.5+4.7+4.7+4.6</f>
        <v>21.700000000000003</v>
      </c>
      <c r="K18" s="29">
        <f t="shared" si="2"/>
        <v>42</v>
      </c>
      <c r="L18" s="31">
        <v>3</v>
      </c>
      <c r="M18" s="29">
        <f>2.5+2.5+2.5+3.5+3.4+3.6</f>
        <v>18</v>
      </c>
      <c r="N18" s="29">
        <f>2.1+2.2+2.3+3.3+3.2+3.5</f>
        <v>16.600000000000001</v>
      </c>
      <c r="O18" s="29">
        <f t="shared" si="0"/>
        <v>34.6</v>
      </c>
      <c r="P18" s="31">
        <v>3</v>
      </c>
      <c r="Q18" s="32">
        <f t="shared" si="1"/>
        <v>6</v>
      </c>
    </row>
    <row r="19" spans="1:17" x14ac:dyDescent="0.25">
      <c r="A19" s="28">
        <v>14</v>
      </c>
      <c r="B19" s="30" t="s">
        <v>576</v>
      </c>
      <c r="C19" s="28" t="s">
        <v>397</v>
      </c>
      <c r="D19" s="29"/>
      <c r="E19" s="29"/>
      <c r="F19" s="29"/>
      <c r="G19" s="29"/>
      <c r="H19" s="31"/>
      <c r="I19" s="29">
        <f>2.5+2.5+2.7+4.3+4.3+4.1</f>
        <v>20.399999999999999</v>
      </c>
      <c r="J19" s="29">
        <f>2.5+2.5+2.5+4.5+4.5+4.4</f>
        <v>20.9</v>
      </c>
      <c r="K19" s="29">
        <f t="shared" si="2"/>
        <v>41.3</v>
      </c>
      <c r="L19" s="31">
        <v>3</v>
      </c>
      <c r="M19" s="29">
        <f>2.5+2.6+2.6+3.5+3.5+3.5</f>
        <v>18.2</v>
      </c>
      <c r="N19" s="29">
        <f>2.2+2.2+2.2+3.2+3.2+3.4</f>
        <v>16.399999999999999</v>
      </c>
      <c r="O19" s="29">
        <f t="shared" si="0"/>
        <v>34.599999999999994</v>
      </c>
      <c r="P19" s="31">
        <v>3</v>
      </c>
      <c r="Q19" s="32">
        <f t="shared" si="1"/>
        <v>6</v>
      </c>
    </row>
    <row r="20" spans="1:17" x14ac:dyDescent="0.25">
      <c r="A20" s="28">
        <v>15</v>
      </c>
      <c r="B20" s="30" t="s">
        <v>579</v>
      </c>
      <c r="C20" s="28" t="s">
        <v>82</v>
      </c>
      <c r="D20" s="29"/>
      <c r="E20" s="29"/>
      <c r="F20" s="29"/>
      <c r="G20" s="29"/>
      <c r="H20" s="31"/>
      <c r="I20" s="29">
        <f>2.4+2.5+2.6+4.1+4.2+4.1</f>
        <v>19.899999999999999</v>
      </c>
      <c r="J20" s="29">
        <f>2.5+2.5+2.4+4.6+4.5+4.5</f>
        <v>21</v>
      </c>
      <c r="K20" s="29">
        <f t="shared" si="2"/>
        <v>40.9</v>
      </c>
      <c r="L20" s="31">
        <v>3</v>
      </c>
      <c r="M20" s="29">
        <f>2.5+2.4+2.4+3.6+3.5+3.5</f>
        <v>17.899999999999999</v>
      </c>
      <c r="N20" s="29">
        <f>2.2+2.1+2.2+3.3+3.1+3.4</f>
        <v>16.3</v>
      </c>
      <c r="O20" s="29">
        <f t="shared" si="0"/>
        <v>34.200000000000003</v>
      </c>
      <c r="P20" s="31">
        <v>3</v>
      </c>
      <c r="Q20" s="32">
        <f t="shared" si="1"/>
        <v>6</v>
      </c>
    </row>
    <row r="21" spans="1:17" x14ac:dyDescent="0.25">
      <c r="A21" s="28">
        <v>16</v>
      </c>
      <c r="B21" s="30" t="s">
        <v>571</v>
      </c>
      <c r="C21" s="28" t="s">
        <v>444</v>
      </c>
      <c r="D21" s="29"/>
      <c r="E21" s="29"/>
      <c r="F21" s="29"/>
      <c r="G21" s="29"/>
      <c r="H21" s="31"/>
      <c r="I21" s="29">
        <f>2.4+2.5+2.4+4.9+4.3+4</f>
        <v>20.5</v>
      </c>
      <c r="J21" s="29">
        <f>2.2+2.2+2.4+4.2+4.3+4.3</f>
        <v>19.600000000000001</v>
      </c>
      <c r="K21" s="29">
        <f t="shared" si="2"/>
        <v>40.1</v>
      </c>
      <c r="L21" s="31">
        <v>3</v>
      </c>
      <c r="M21" s="29">
        <f>2.5+2.4+2.5+3.5+3.5+3.5</f>
        <v>17.899999999999999</v>
      </c>
      <c r="N21" s="29">
        <f>2.1+2.1+2.1+3.1+3.1+3.1</f>
        <v>15.6</v>
      </c>
      <c r="O21" s="29">
        <f t="shared" si="0"/>
        <v>33.5</v>
      </c>
      <c r="P21" s="31">
        <v>3</v>
      </c>
      <c r="Q21" s="32">
        <f t="shared" si="1"/>
        <v>6</v>
      </c>
    </row>
    <row r="22" spans="1:17" x14ac:dyDescent="0.25">
      <c r="A22" s="28">
        <v>17</v>
      </c>
      <c r="B22" s="30" t="s">
        <v>585</v>
      </c>
      <c r="C22" s="28" t="s">
        <v>15</v>
      </c>
      <c r="D22" s="29"/>
      <c r="E22" s="29"/>
      <c r="F22" s="29"/>
      <c r="G22" s="29"/>
      <c r="H22" s="31"/>
      <c r="I22" s="29">
        <f>2.3+2.5+2.6+4.2+4.3+4.1</f>
        <v>20</v>
      </c>
      <c r="J22" s="29">
        <f>2.4+2.3+2.4+4.3+4.3+4.3</f>
        <v>20</v>
      </c>
      <c r="K22" s="29">
        <f t="shared" si="2"/>
        <v>40</v>
      </c>
      <c r="L22" s="31">
        <v>3</v>
      </c>
      <c r="M22" s="29">
        <f>2.4+2.4+2.4+3.5+3.5+3.4</f>
        <v>17.599999999999998</v>
      </c>
      <c r="N22" s="29">
        <f>2+1.9+2.1+2.9+2.9+2.9</f>
        <v>14.700000000000001</v>
      </c>
      <c r="O22" s="29">
        <f t="shared" si="0"/>
        <v>32.299999999999997</v>
      </c>
      <c r="P22" s="31">
        <v>3</v>
      </c>
      <c r="Q22" s="32">
        <f t="shared" si="1"/>
        <v>6</v>
      </c>
    </row>
    <row r="23" spans="1:17" x14ac:dyDescent="0.25">
      <c r="A23" s="28">
        <v>18</v>
      </c>
      <c r="B23" s="30" t="s">
        <v>573</v>
      </c>
      <c r="C23" s="28" t="s">
        <v>444</v>
      </c>
      <c r="D23" s="29"/>
      <c r="E23" s="29"/>
      <c r="F23" s="29"/>
      <c r="G23" s="29"/>
      <c r="H23" s="31"/>
      <c r="I23" s="29">
        <f>2.2+2.2+2.2+4+3.9+3.8</f>
        <v>18.3</v>
      </c>
      <c r="J23" s="29">
        <f>2+2.1+2.2+4.1+4+4.1</f>
        <v>18.5</v>
      </c>
      <c r="K23" s="29">
        <f t="shared" si="2"/>
        <v>36.799999999999997</v>
      </c>
      <c r="L23" s="31">
        <v>3</v>
      </c>
      <c r="M23" s="29">
        <f>2.3+2.3+2.3+3.3+3.3+3.3</f>
        <v>16.8</v>
      </c>
      <c r="N23" s="29">
        <f>2.1+2+2+3.2+3+3.1</f>
        <v>15.4</v>
      </c>
      <c r="O23" s="29">
        <f t="shared" si="0"/>
        <v>32.200000000000003</v>
      </c>
      <c r="P23" s="31">
        <v>3</v>
      </c>
      <c r="Q23" s="32">
        <f t="shared" si="1"/>
        <v>6</v>
      </c>
    </row>
    <row r="24" spans="1:17" x14ac:dyDescent="0.25">
      <c r="A24" s="28">
        <v>19</v>
      </c>
      <c r="B24" s="30" t="s">
        <v>581</v>
      </c>
      <c r="C24" s="28" t="s">
        <v>95</v>
      </c>
      <c r="D24" s="29"/>
      <c r="E24" s="29"/>
      <c r="F24" s="29"/>
      <c r="G24" s="29"/>
      <c r="H24" s="31"/>
      <c r="I24" s="29">
        <f>2.5+2.5+2.6+4.4+4.3+4.2</f>
        <v>20.5</v>
      </c>
      <c r="J24" s="29">
        <f>2.7+2.7+2.6+4.7+4.8+4.6</f>
        <v>22.1</v>
      </c>
      <c r="K24" s="29">
        <f t="shared" si="2"/>
        <v>42.6</v>
      </c>
      <c r="L24" s="31">
        <v>3</v>
      </c>
      <c r="M24" s="29"/>
      <c r="N24" s="29"/>
      <c r="O24" s="29"/>
      <c r="P24" s="31"/>
      <c r="Q24" s="32">
        <f t="shared" si="1"/>
        <v>3</v>
      </c>
    </row>
    <row r="25" spans="1:17" x14ac:dyDescent="0.25">
      <c r="A25" s="28">
        <v>20</v>
      </c>
      <c r="B25" s="30" t="s">
        <v>570</v>
      </c>
      <c r="C25" s="28" t="s">
        <v>444</v>
      </c>
      <c r="D25" s="29"/>
      <c r="E25" s="29"/>
      <c r="F25" s="29"/>
      <c r="G25" s="29"/>
      <c r="H25" s="31"/>
      <c r="I25" s="29">
        <f>2.4+2.4+2.4+4.3+4.1+4</f>
        <v>19.600000000000001</v>
      </c>
      <c r="J25" s="29">
        <f>2+2.1+2.3+4.2+4.2+4.2</f>
        <v>19</v>
      </c>
      <c r="K25" s="29">
        <f t="shared" si="2"/>
        <v>38.6</v>
      </c>
      <c r="L25" s="31">
        <v>3</v>
      </c>
      <c r="M25" s="29"/>
      <c r="N25" s="29"/>
      <c r="O25" s="29"/>
      <c r="P25" s="31"/>
      <c r="Q25" s="32">
        <f t="shared" si="1"/>
        <v>3</v>
      </c>
    </row>
    <row r="26" spans="1:17" x14ac:dyDescent="0.25">
      <c r="A26" s="28">
        <v>21</v>
      </c>
      <c r="B26" s="30" t="s">
        <v>572</v>
      </c>
      <c r="C26" s="28" t="s">
        <v>444</v>
      </c>
      <c r="D26" s="29"/>
      <c r="E26" s="29"/>
      <c r="F26" s="29"/>
      <c r="G26" s="29"/>
      <c r="H26" s="31"/>
      <c r="I26" s="29">
        <f>2.3+2.2+2.3+4.1+4.1+4.1</f>
        <v>19.099999999999998</v>
      </c>
      <c r="J26" s="29">
        <f>2.1+2.1+2.2+4.1+4.1+4.1</f>
        <v>18.7</v>
      </c>
      <c r="K26" s="29">
        <f t="shared" si="2"/>
        <v>37.799999999999997</v>
      </c>
      <c r="L26" s="31">
        <v>3</v>
      </c>
      <c r="M26" s="29"/>
      <c r="N26" s="29"/>
      <c r="O26" s="29"/>
      <c r="P26" s="31"/>
      <c r="Q26" s="32">
        <f t="shared" si="1"/>
        <v>3</v>
      </c>
    </row>
    <row r="27" spans="1:17" x14ac:dyDescent="0.25">
      <c r="A27" s="28">
        <v>22</v>
      </c>
      <c r="B27" s="28" t="s">
        <v>313</v>
      </c>
      <c r="C27" s="28" t="s">
        <v>67</v>
      </c>
      <c r="D27" s="29">
        <v>19</v>
      </c>
      <c r="E27" s="29">
        <v>17.2</v>
      </c>
      <c r="F27" s="29">
        <v>15.9</v>
      </c>
      <c r="G27" s="29">
        <f>SUM(D27:F27)</f>
        <v>52.1</v>
      </c>
      <c r="H27" s="31">
        <v>3</v>
      </c>
      <c r="I27" s="29"/>
      <c r="J27" s="29"/>
      <c r="K27" s="29"/>
      <c r="L27" s="31"/>
      <c r="M27" s="29"/>
      <c r="N27" s="29"/>
      <c r="O27" s="29"/>
      <c r="P27" s="31"/>
      <c r="Q27" s="32">
        <f t="shared" si="1"/>
        <v>3</v>
      </c>
    </row>
    <row r="28" spans="1:17" x14ac:dyDescent="0.25">
      <c r="A28" s="28">
        <v>23</v>
      </c>
      <c r="B28" s="28" t="s">
        <v>319</v>
      </c>
      <c r="C28" s="28" t="s">
        <v>12</v>
      </c>
      <c r="D28" s="29">
        <v>17.3</v>
      </c>
      <c r="E28" s="29">
        <v>16.100000000000001</v>
      </c>
      <c r="F28" s="29">
        <v>16.7</v>
      </c>
      <c r="G28" s="29">
        <f>SUM(D28:F28)</f>
        <v>50.100000000000009</v>
      </c>
      <c r="H28" s="31">
        <v>3</v>
      </c>
      <c r="I28" s="29"/>
      <c r="J28" s="29"/>
      <c r="K28" s="29"/>
      <c r="L28" s="31"/>
      <c r="M28" s="29"/>
      <c r="N28" s="29"/>
      <c r="O28" s="29"/>
      <c r="P28" s="31"/>
      <c r="Q28" s="32">
        <f t="shared" si="1"/>
        <v>3</v>
      </c>
    </row>
    <row r="29" spans="1:17" x14ac:dyDescent="0.25">
      <c r="A29" s="28">
        <v>24</v>
      </c>
      <c r="B29" s="30" t="s">
        <v>586</v>
      </c>
      <c r="C29" s="28" t="s">
        <v>426</v>
      </c>
      <c r="D29" s="29"/>
      <c r="E29" s="29"/>
      <c r="F29" s="29"/>
      <c r="G29" s="29"/>
      <c r="H29" s="31"/>
      <c r="I29" s="29"/>
      <c r="J29" s="29"/>
      <c r="K29" s="29"/>
      <c r="L29" s="31"/>
      <c r="M29" s="29"/>
      <c r="N29" s="29"/>
      <c r="O29" s="29"/>
      <c r="P29" s="31"/>
      <c r="Q29" s="32">
        <f t="shared" si="1"/>
        <v>0</v>
      </c>
    </row>
    <row r="30" spans="1:17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</sheetData>
  <sortState ref="B4:Q27">
    <sortCondition descending="1" ref="Q4:Q27"/>
  </sortState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2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18.85546875" style="4" bestFit="1" customWidth="1"/>
    <col min="4" max="4" width="6.42578125" style="4" customWidth="1"/>
    <col min="5" max="6" width="6" style="4" customWidth="1"/>
    <col min="7" max="7" width="11.85546875" style="4" bestFit="1" customWidth="1"/>
    <col min="8" max="8" width="18.42578125" style="4" customWidth="1"/>
    <col min="9" max="9" width="8" style="4" customWidth="1"/>
    <col min="10" max="10" width="7.28515625" style="4" customWidth="1"/>
    <col min="11" max="11" width="11.42578125" style="4"/>
    <col min="12" max="12" width="19.5703125" style="4" customWidth="1"/>
    <col min="13" max="13" width="7.85546875" style="4" customWidth="1"/>
    <col min="14" max="14" width="7.140625" style="4" customWidth="1"/>
    <col min="15" max="15" width="11.42578125" style="4"/>
    <col min="16" max="16" width="18.42578125" style="4" customWidth="1"/>
    <col min="17" max="17" width="23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345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4">
        <v>1</v>
      </c>
      <c r="B6" s="12" t="s">
        <v>340</v>
      </c>
      <c r="C6" s="12" t="s">
        <v>95</v>
      </c>
      <c r="D6" s="13">
        <v>21.4</v>
      </c>
      <c r="E6" s="13">
        <v>19.899999999999999</v>
      </c>
      <c r="F6" s="13">
        <v>20.7</v>
      </c>
      <c r="G6" s="13">
        <f>SUM(D6:F6)</f>
        <v>62</v>
      </c>
      <c r="H6" s="14">
        <v>23</v>
      </c>
      <c r="I6" s="13">
        <f>2.8+2.9+2.7+3.5+3.9+3.8</f>
        <v>19.599999999999998</v>
      </c>
      <c r="J6" s="13">
        <f>2.8+2.7+2.7+4.3+4.4+4.3</f>
        <v>21.2</v>
      </c>
      <c r="K6" s="13">
        <f>SUM(I6:J6)</f>
        <v>40.799999999999997</v>
      </c>
      <c r="L6" s="14">
        <v>23</v>
      </c>
      <c r="M6" s="13">
        <f>2.7+2.5+2.5+3.7+3.6+3.6</f>
        <v>18.600000000000001</v>
      </c>
      <c r="N6" s="13">
        <f>2.7+2.7+2.7+3.8+3.8+3.7</f>
        <v>19.400000000000002</v>
      </c>
      <c r="O6" s="13">
        <f>M6+N6</f>
        <v>38</v>
      </c>
      <c r="P6" s="14">
        <v>23</v>
      </c>
      <c r="Q6" s="15">
        <f t="shared" ref="Q6:Q19" si="0">H6+L6+P6</f>
        <v>69</v>
      </c>
    </row>
    <row r="7" spans="1:17" x14ac:dyDescent="0.25">
      <c r="A7" s="4">
        <v>2</v>
      </c>
      <c r="B7" s="12" t="s">
        <v>338</v>
      </c>
      <c r="C7" s="12" t="s">
        <v>91</v>
      </c>
      <c r="D7" s="13">
        <v>20.100000000000001</v>
      </c>
      <c r="E7" s="13">
        <v>20.3</v>
      </c>
      <c r="F7" s="13">
        <v>19.399999999999999</v>
      </c>
      <c r="G7" s="13">
        <f>SUM(D7:F7)</f>
        <v>59.800000000000004</v>
      </c>
      <c r="H7" s="14">
        <v>18</v>
      </c>
      <c r="I7" s="13">
        <f>3+3.1+2.7+3.6+3.7+3.5</f>
        <v>19.600000000000001</v>
      </c>
      <c r="J7" s="13">
        <f>2.7+2.7+2.7+4.4+4.3+4.3</f>
        <v>21.1</v>
      </c>
      <c r="K7" s="13">
        <f>SUM(I7:J7)</f>
        <v>40.700000000000003</v>
      </c>
      <c r="L7" s="14">
        <v>18</v>
      </c>
      <c r="M7" s="13"/>
      <c r="N7" s="13"/>
      <c r="O7" s="13"/>
      <c r="P7" s="14"/>
      <c r="Q7" s="15">
        <f t="shared" si="0"/>
        <v>36</v>
      </c>
    </row>
    <row r="8" spans="1:17" x14ac:dyDescent="0.25">
      <c r="A8" s="4">
        <v>3</v>
      </c>
      <c r="B8" s="16" t="s">
        <v>588</v>
      </c>
      <c r="C8" s="12" t="s">
        <v>95</v>
      </c>
      <c r="D8" s="13"/>
      <c r="E8" s="13"/>
      <c r="F8" s="13"/>
      <c r="G8" s="13"/>
      <c r="H8" s="14"/>
      <c r="I8" s="13">
        <f>2.6+2.6+2.7+3.6+3.6+3.5</f>
        <v>18.600000000000001</v>
      </c>
      <c r="J8" s="13">
        <f>2.6+2.5+2.5+4.1+4.2+4</f>
        <v>19.899999999999999</v>
      </c>
      <c r="K8" s="13">
        <f>SUM(I8:J8)</f>
        <v>38.5</v>
      </c>
      <c r="L8" s="14">
        <v>13</v>
      </c>
      <c r="M8" s="13">
        <f>2.5+2.4+2.4+3.6+3.4+3.4</f>
        <v>17.7</v>
      </c>
      <c r="N8" s="13">
        <f>2.5+2.5+2.5+3.5+3.6+3.6</f>
        <v>18.2</v>
      </c>
      <c r="O8" s="13">
        <f>M8+N8</f>
        <v>35.9</v>
      </c>
      <c r="P8" s="14">
        <v>18</v>
      </c>
      <c r="Q8" s="15">
        <f t="shared" si="0"/>
        <v>31</v>
      </c>
    </row>
    <row r="9" spans="1:17" x14ac:dyDescent="0.25">
      <c r="A9" s="4">
        <v>4</v>
      </c>
      <c r="B9" s="12" t="s">
        <v>342</v>
      </c>
      <c r="C9" s="12" t="s">
        <v>53</v>
      </c>
      <c r="D9" s="13">
        <v>16.2</v>
      </c>
      <c r="E9" s="13">
        <v>16.399999999999999</v>
      </c>
      <c r="F9" s="13">
        <v>15.7</v>
      </c>
      <c r="G9" s="13">
        <f>SUM(D9:F9)</f>
        <v>48.3</v>
      </c>
      <c r="H9" s="14">
        <v>13</v>
      </c>
      <c r="I9" s="13">
        <f>2.5+2.5+2.6+3.5+3.4+3.4</f>
        <v>17.899999999999999</v>
      </c>
      <c r="J9" s="13">
        <f>2.6+2.5+2.5+4.1+4.1+4.2</f>
        <v>20</v>
      </c>
      <c r="K9" s="13">
        <f>SUM(I9:J9)</f>
        <v>37.9</v>
      </c>
      <c r="L9" s="14">
        <v>3</v>
      </c>
      <c r="M9" s="13">
        <f>2.4+2.5+2.4+3.4+3.4+3.4</f>
        <v>17.5</v>
      </c>
      <c r="N9" s="13">
        <f>2.4+2.7+2.4+3.5+3.7+3.6</f>
        <v>18.3</v>
      </c>
      <c r="O9" s="13">
        <f>M9+N9</f>
        <v>35.799999999999997</v>
      </c>
      <c r="P9" s="14">
        <v>13</v>
      </c>
      <c r="Q9" s="15">
        <f t="shared" si="0"/>
        <v>29</v>
      </c>
    </row>
    <row r="10" spans="1:17" x14ac:dyDescent="0.25">
      <c r="A10" s="4">
        <v>5</v>
      </c>
      <c r="B10" s="12" t="s">
        <v>337</v>
      </c>
      <c r="C10" s="12" t="s">
        <v>67</v>
      </c>
      <c r="D10" s="13">
        <v>17.899999999999999</v>
      </c>
      <c r="E10" s="13">
        <v>16.100000000000001</v>
      </c>
      <c r="F10" s="13">
        <v>16.899999999999999</v>
      </c>
      <c r="G10" s="13">
        <f>SUM(D10:F10)</f>
        <v>50.9</v>
      </c>
      <c r="H10" s="14">
        <v>13</v>
      </c>
      <c r="I10" s="13">
        <f>2.6+2.5+2.7+3.5+3.6+3.5</f>
        <v>18.399999999999999</v>
      </c>
      <c r="J10" s="13">
        <f>2.3+2.4+2.5+3.9+4.1+4.1</f>
        <v>19.299999999999997</v>
      </c>
      <c r="K10" s="13">
        <f>SUM(I10:J10)</f>
        <v>37.699999999999996</v>
      </c>
      <c r="L10" s="14">
        <v>3</v>
      </c>
      <c r="M10" s="13">
        <f>2.1+2.2+2.3+3.2+3.2+3.4</f>
        <v>16.399999999999999</v>
      </c>
      <c r="N10" s="13">
        <f>2.4+2.5+2.6+3.4+3.6+3.5</f>
        <v>18</v>
      </c>
      <c r="O10" s="13">
        <f>M10+N10</f>
        <v>34.4</v>
      </c>
      <c r="P10" s="14">
        <v>3</v>
      </c>
      <c r="Q10" s="15">
        <f t="shared" si="0"/>
        <v>19</v>
      </c>
    </row>
    <row r="11" spans="1:17" x14ac:dyDescent="0.25">
      <c r="A11" s="4">
        <v>6</v>
      </c>
      <c r="B11" s="16" t="s">
        <v>730</v>
      </c>
      <c r="C11" s="12" t="s">
        <v>57</v>
      </c>
      <c r="D11" s="13"/>
      <c r="E11" s="13"/>
      <c r="F11" s="13"/>
      <c r="G11" s="13"/>
      <c r="H11" s="14"/>
      <c r="I11" s="13"/>
      <c r="J11" s="13"/>
      <c r="K11" s="13"/>
      <c r="L11" s="14"/>
      <c r="M11" s="13">
        <f>2.3+2.4+2.4+3.3+3.3+3.3</f>
        <v>17</v>
      </c>
      <c r="N11" s="13">
        <f>2.6+2.6+2.5+3.5+3.7+3.6</f>
        <v>18.5</v>
      </c>
      <c r="O11" s="13">
        <f>M11+N11</f>
        <v>35.5</v>
      </c>
      <c r="P11" s="14">
        <v>13</v>
      </c>
      <c r="Q11" s="15">
        <f t="shared" si="0"/>
        <v>13</v>
      </c>
    </row>
    <row r="12" spans="1:17" x14ac:dyDescent="0.25">
      <c r="A12" s="4">
        <v>7</v>
      </c>
      <c r="B12" s="16" t="s">
        <v>589</v>
      </c>
      <c r="C12" s="12" t="s">
        <v>26</v>
      </c>
      <c r="D12" s="13"/>
      <c r="E12" s="13"/>
      <c r="F12" s="13"/>
      <c r="G12" s="13"/>
      <c r="H12" s="14"/>
      <c r="I12" s="13">
        <f>2.6+2.5+2.5+3.6+3.6+3.3</f>
        <v>18.099999999999998</v>
      </c>
      <c r="J12" s="13">
        <f>2.8+2.5+2.4+4.4+3.9+4</f>
        <v>20</v>
      </c>
      <c r="K12" s="13">
        <f t="shared" ref="K12:K19" si="1">SUM(I12:J12)</f>
        <v>38.099999999999994</v>
      </c>
      <c r="L12" s="14">
        <v>13</v>
      </c>
      <c r="M12" s="13"/>
      <c r="N12" s="13"/>
      <c r="O12" s="13"/>
      <c r="P12" s="14"/>
      <c r="Q12" s="15">
        <f t="shared" si="0"/>
        <v>13</v>
      </c>
    </row>
    <row r="13" spans="1:17" x14ac:dyDescent="0.25">
      <c r="A13" s="4">
        <v>8</v>
      </c>
      <c r="B13" s="12" t="s">
        <v>341</v>
      </c>
      <c r="C13" s="12" t="s">
        <v>15</v>
      </c>
      <c r="D13" s="13">
        <v>16.100000000000001</v>
      </c>
      <c r="E13" s="13">
        <v>15.3</v>
      </c>
      <c r="F13" s="13">
        <v>14.7</v>
      </c>
      <c r="G13" s="13">
        <f>SUM(D13:F13)</f>
        <v>46.1</v>
      </c>
      <c r="H13" s="14">
        <v>3</v>
      </c>
      <c r="I13" s="13">
        <f>2.6+2.6+2.5+3.5+3.5+3.4</f>
        <v>18.099999999999998</v>
      </c>
      <c r="J13" s="13">
        <f>2.1+2.2+2+3.7+3.9+3.9</f>
        <v>17.8</v>
      </c>
      <c r="K13" s="13">
        <f t="shared" si="1"/>
        <v>35.9</v>
      </c>
      <c r="L13" s="14">
        <v>3</v>
      </c>
      <c r="M13" s="13">
        <f>2.2+2.3+2.2+3.2+3.3+3.4</f>
        <v>16.599999999999998</v>
      </c>
      <c r="N13" s="13">
        <f>2.4+2.6+2.4+3.4+3.6+3.5</f>
        <v>17.899999999999999</v>
      </c>
      <c r="O13" s="13">
        <f>M13+N13</f>
        <v>34.5</v>
      </c>
      <c r="P13" s="14">
        <v>3</v>
      </c>
      <c r="Q13" s="15">
        <f t="shared" si="0"/>
        <v>9</v>
      </c>
    </row>
    <row r="14" spans="1:17" x14ac:dyDescent="0.25">
      <c r="A14" s="4">
        <v>9</v>
      </c>
      <c r="B14" s="12" t="s">
        <v>339</v>
      </c>
      <c r="C14" s="12" t="s">
        <v>15</v>
      </c>
      <c r="D14" s="13">
        <v>15.7</v>
      </c>
      <c r="E14" s="13">
        <v>15.4</v>
      </c>
      <c r="F14" s="13">
        <v>14.8</v>
      </c>
      <c r="G14" s="13">
        <f>SUM(D14:F14)</f>
        <v>45.900000000000006</v>
      </c>
      <c r="H14" s="14">
        <v>3</v>
      </c>
      <c r="I14" s="13">
        <f>2.5+2.5+2.6+3.6+3.5+3.5</f>
        <v>18.2</v>
      </c>
      <c r="J14" s="13">
        <f>2.3+2.3+2+3.7+3.8+3.8</f>
        <v>17.900000000000002</v>
      </c>
      <c r="K14" s="13">
        <f t="shared" si="1"/>
        <v>36.1</v>
      </c>
      <c r="L14" s="14">
        <v>3</v>
      </c>
      <c r="M14" s="13">
        <f>2.2+2.2+2.3+3.1+3.3+3.3</f>
        <v>16.400000000000002</v>
      </c>
      <c r="N14" s="13">
        <f>2.3+2.5+2.3+3.4+3.5+3.4</f>
        <v>17.399999999999999</v>
      </c>
      <c r="O14" s="13">
        <f>M14+N14</f>
        <v>33.799999999999997</v>
      </c>
      <c r="P14" s="14">
        <v>3</v>
      </c>
      <c r="Q14" s="15">
        <f t="shared" si="0"/>
        <v>9</v>
      </c>
    </row>
    <row r="15" spans="1:17" x14ac:dyDescent="0.25">
      <c r="A15" s="4">
        <v>10</v>
      </c>
      <c r="B15" s="16" t="s">
        <v>335</v>
      </c>
      <c r="C15" s="12" t="s">
        <v>15</v>
      </c>
      <c r="D15" s="13"/>
      <c r="E15" s="13"/>
      <c r="F15" s="13"/>
      <c r="G15" s="13"/>
      <c r="H15" s="14"/>
      <c r="I15" s="13">
        <f>2.6+2.6+2.6+3.6+3.5+3.5</f>
        <v>18.399999999999999</v>
      </c>
      <c r="J15" s="13">
        <f>2.5+2.4+2.3+3.9+4+4</f>
        <v>19.100000000000001</v>
      </c>
      <c r="K15" s="13">
        <f t="shared" si="1"/>
        <v>37.5</v>
      </c>
      <c r="L15" s="14">
        <v>3</v>
      </c>
      <c r="M15" s="13">
        <f>2.3+2.4+2.3+3.3+3.4+3.3</f>
        <v>17</v>
      </c>
      <c r="N15" s="13">
        <f>2.4+2.6+2.6+3.4+3.6+3.5</f>
        <v>18.100000000000001</v>
      </c>
      <c r="O15" s="13">
        <f>M15+N15</f>
        <v>35.1</v>
      </c>
      <c r="P15" s="14">
        <v>3</v>
      </c>
      <c r="Q15" s="15">
        <f t="shared" si="0"/>
        <v>6</v>
      </c>
    </row>
    <row r="16" spans="1:17" x14ac:dyDescent="0.25">
      <c r="A16" s="4">
        <v>11</v>
      </c>
      <c r="B16" s="16" t="s">
        <v>587</v>
      </c>
      <c r="C16" s="12" t="s">
        <v>67</v>
      </c>
      <c r="D16" s="13"/>
      <c r="E16" s="13"/>
      <c r="F16" s="13"/>
      <c r="G16" s="13"/>
      <c r="H16" s="14"/>
      <c r="I16" s="13">
        <f>2.6+2.6+2.6+3.6+3.5+3.5</f>
        <v>18.399999999999999</v>
      </c>
      <c r="J16" s="13">
        <f>2.3+2.4+2.5+3.9+4+4</f>
        <v>19.100000000000001</v>
      </c>
      <c r="K16" s="13">
        <f t="shared" si="1"/>
        <v>37.5</v>
      </c>
      <c r="L16" s="14">
        <v>3</v>
      </c>
      <c r="M16" s="13">
        <f>2.3+2.4+2.3+3.3+3.4+3.3</f>
        <v>17</v>
      </c>
      <c r="N16" s="13">
        <f>2.4+2.6+2.4+3.5+3.6+3.5</f>
        <v>18</v>
      </c>
      <c r="O16" s="13">
        <f>M16+N16</f>
        <v>35</v>
      </c>
      <c r="P16" s="14">
        <v>3</v>
      </c>
      <c r="Q16" s="15">
        <f t="shared" si="0"/>
        <v>6</v>
      </c>
    </row>
    <row r="17" spans="1:17" x14ac:dyDescent="0.25">
      <c r="A17" s="4">
        <v>12</v>
      </c>
      <c r="B17" s="12" t="s">
        <v>343</v>
      </c>
      <c r="C17" s="12" t="s">
        <v>15</v>
      </c>
      <c r="D17" s="13">
        <v>16.399999999999999</v>
      </c>
      <c r="E17" s="13">
        <v>15</v>
      </c>
      <c r="F17" s="13">
        <v>14.9</v>
      </c>
      <c r="G17" s="13">
        <f>SUM(D17:F17)</f>
        <v>46.3</v>
      </c>
      <c r="H17" s="14">
        <v>3</v>
      </c>
      <c r="I17" s="13">
        <f>2.6+2.5+2.5+3.6+3.6+3.4</f>
        <v>18.2</v>
      </c>
      <c r="J17" s="13">
        <f>2.4+2.3+2.3+3.8+3.9+3.8</f>
        <v>18.5</v>
      </c>
      <c r="K17" s="13">
        <f t="shared" si="1"/>
        <v>36.700000000000003</v>
      </c>
      <c r="L17" s="14">
        <v>3</v>
      </c>
      <c r="M17" s="13"/>
      <c r="N17" s="13"/>
      <c r="O17" s="13"/>
      <c r="P17" s="14"/>
      <c r="Q17" s="15">
        <f t="shared" si="0"/>
        <v>6</v>
      </c>
    </row>
    <row r="18" spans="1:17" x14ac:dyDescent="0.25">
      <c r="A18" s="4">
        <v>13</v>
      </c>
      <c r="B18" s="12" t="s">
        <v>344</v>
      </c>
      <c r="C18" s="12" t="s">
        <v>12</v>
      </c>
      <c r="D18" s="13">
        <v>15.9</v>
      </c>
      <c r="E18" s="13">
        <v>15.9</v>
      </c>
      <c r="F18" s="13">
        <v>15.2</v>
      </c>
      <c r="G18" s="13">
        <f>SUM(D18:F18)</f>
        <v>47</v>
      </c>
      <c r="H18" s="14">
        <v>3</v>
      </c>
      <c r="I18" s="13">
        <f>2.5+2.5+2.5+3.4+3.4+3.3</f>
        <v>17.600000000000001</v>
      </c>
      <c r="J18" s="13">
        <f>2.2+2.3+2+3.8+3.8+3.9</f>
        <v>18</v>
      </c>
      <c r="K18" s="13">
        <f t="shared" si="1"/>
        <v>35.6</v>
      </c>
      <c r="L18" s="14">
        <v>3</v>
      </c>
      <c r="M18" s="13"/>
      <c r="N18" s="13"/>
      <c r="O18" s="13"/>
      <c r="P18" s="14"/>
      <c r="Q18" s="15">
        <f t="shared" si="0"/>
        <v>6</v>
      </c>
    </row>
    <row r="19" spans="1:17" x14ac:dyDescent="0.25">
      <c r="A19" s="4">
        <v>14</v>
      </c>
      <c r="B19" s="16" t="s">
        <v>597</v>
      </c>
      <c r="C19" s="12" t="s">
        <v>82</v>
      </c>
      <c r="D19" s="13"/>
      <c r="E19" s="13"/>
      <c r="F19" s="13"/>
      <c r="G19" s="13"/>
      <c r="H19" s="14"/>
      <c r="I19" s="13">
        <f>2.5+2.5+2.5+3.4+3.4+3.3</f>
        <v>17.600000000000001</v>
      </c>
      <c r="J19" s="13">
        <f>2.2+2.2+2.2+3.7+3.7+3.7</f>
        <v>17.7</v>
      </c>
      <c r="K19" s="13">
        <f t="shared" si="1"/>
        <v>35.299999999999997</v>
      </c>
      <c r="L19" s="14">
        <v>3</v>
      </c>
      <c r="M19" s="13"/>
      <c r="N19" s="13"/>
      <c r="O19" s="13"/>
      <c r="P19" s="14"/>
      <c r="Q19" s="15">
        <f t="shared" si="0"/>
        <v>3</v>
      </c>
    </row>
  </sheetData>
  <sortState ref="B4:Q17">
    <sortCondition descending="1" ref="Q4:Q17"/>
  </sortState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style="4" customWidth="1"/>
    <col min="2" max="2" width="33" style="4" bestFit="1" customWidth="1"/>
    <col min="3" max="3" width="18.85546875" style="4" bestFit="1" customWidth="1"/>
    <col min="4" max="6" width="7.42578125" style="4" customWidth="1"/>
    <col min="7" max="7" width="11.85546875" style="4" bestFit="1" customWidth="1"/>
    <col min="8" max="8" width="18" style="4" customWidth="1"/>
    <col min="9" max="9" width="7.85546875" style="4" customWidth="1"/>
    <col min="10" max="10" width="7.42578125" style="4" customWidth="1"/>
    <col min="11" max="11" width="12.5703125" style="4" customWidth="1"/>
    <col min="12" max="12" width="18.42578125" style="4" customWidth="1"/>
    <col min="13" max="13" width="6.28515625" style="4" customWidth="1"/>
    <col min="14" max="14" width="8.28515625" style="4" customWidth="1"/>
    <col min="15" max="15" width="11.42578125" style="4"/>
    <col min="16" max="16" width="18.42578125" style="4" customWidth="1"/>
    <col min="17" max="17" width="23.1406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334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333</v>
      </c>
      <c r="C6" s="12" t="s">
        <v>95</v>
      </c>
      <c r="D6" s="13">
        <v>23.3</v>
      </c>
      <c r="E6" s="13">
        <v>23.2</v>
      </c>
      <c r="F6" s="13">
        <v>22.4</v>
      </c>
      <c r="G6" s="13">
        <f>SUM(D6:F6)</f>
        <v>68.900000000000006</v>
      </c>
      <c r="H6" s="14">
        <v>23</v>
      </c>
      <c r="I6" s="13">
        <f>2.9+2.8+2.8+3.8+3.8+3.8</f>
        <v>19.900000000000002</v>
      </c>
      <c r="J6" s="13">
        <f>2.7+2.7+2.7+3.6+3.7+3.7</f>
        <v>19.100000000000001</v>
      </c>
      <c r="K6" s="13">
        <f>SUM(I6:J6)</f>
        <v>39</v>
      </c>
      <c r="L6" s="14">
        <v>23</v>
      </c>
      <c r="M6" s="13">
        <f>2.9+2.8+2.9+3.8+3.8+3.8</f>
        <v>20</v>
      </c>
      <c r="N6" s="13">
        <f>2.8+2.7+2.7+3.8+3.6+3.7</f>
        <v>19.3</v>
      </c>
      <c r="O6" s="13">
        <f>M6+N6</f>
        <v>39.299999999999997</v>
      </c>
      <c r="P6" s="14">
        <v>18</v>
      </c>
      <c r="Q6" s="15">
        <f t="shared" ref="Q6:Q24" si="0">H6+L6+P6</f>
        <v>64</v>
      </c>
    </row>
    <row r="7" spans="1:17" x14ac:dyDescent="0.25">
      <c r="A7" s="12">
        <v>2</v>
      </c>
      <c r="B7" s="12" t="s">
        <v>326</v>
      </c>
      <c r="C7" s="12" t="s">
        <v>5</v>
      </c>
      <c r="D7" s="13">
        <v>22.1</v>
      </c>
      <c r="E7" s="13">
        <v>20.399999999999999</v>
      </c>
      <c r="F7" s="13">
        <v>19.899999999999999</v>
      </c>
      <c r="G7" s="13">
        <f>SUM(D7:F7)</f>
        <v>62.4</v>
      </c>
      <c r="H7" s="14">
        <v>13</v>
      </c>
      <c r="I7" s="13">
        <f>2.6+2.6+2.5+3.6+3.5+3.6</f>
        <v>18.400000000000002</v>
      </c>
      <c r="J7" s="13">
        <f>2.7+2.7+2.7+3.6+3.7+3.7</f>
        <v>19.100000000000001</v>
      </c>
      <c r="K7" s="13">
        <f>SUM(I7:J7)</f>
        <v>37.5</v>
      </c>
      <c r="L7" s="14">
        <v>18</v>
      </c>
      <c r="M7" s="13">
        <f>2.8+2.8+2.8+3.6+3.7+3.7</f>
        <v>19.399999999999999</v>
      </c>
      <c r="N7" s="13">
        <f>2.5+2.6+2.5+3.6+3.5+3.5</f>
        <v>18.2</v>
      </c>
      <c r="O7" s="13">
        <f>M7+N7</f>
        <v>37.599999999999994</v>
      </c>
      <c r="P7" s="14">
        <v>13</v>
      </c>
      <c r="Q7" s="15">
        <f t="shared" si="0"/>
        <v>44</v>
      </c>
    </row>
    <row r="8" spans="1:17" x14ac:dyDescent="0.25">
      <c r="A8" s="12">
        <v>3</v>
      </c>
      <c r="B8" s="12" t="s">
        <v>330</v>
      </c>
      <c r="C8" s="12" t="s">
        <v>57</v>
      </c>
      <c r="D8" s="13">
        <v>22.2</v>
      </c>
      <c r="E8" s="13">
        <v>23.2</v>
      </c>
      <c r="F8" s="13">
        <v>22.6</v>
      </c>
      <c r="G8" s="13">
        <f>SUM(D8:F8)</f>
        <v>68</v>
      </c>
      <c r="H8" s="14">
        <v>18</v>
      </c>
      <c r="I8" s="13"/>
      <c r="J8" s="13"/>
      <c r="K8" s="13"/>
      <c r="L8" s="14"/>
      <c r="M8" s="13">
        <f>2.9+2.8+2.7+3.8+3.9+3.7</f>
        <v>19.799999999999997</v>
      </c>
      <c r="N8" s="13">
        <f>2.7+2.9+2.9+3.9+3.8+3.8</f>
        <v>20</v>
      </c>
      <c r="O8" s="13">
        <f>M8+N8</f>
        <v>39.799999999999997</v>
      </c>
      <c r="P8" s="14">
        <v>23</v>
      </c>
      <c r="Q8" s="15">
        <f t="shared" si="0"/>
        <v>41</v>
      </c>
    </row>
    <row r="9" spans="1:17" x14ac:dyDescent="0.25">
      <c r="A9" s="12">
        <v>4</v>
      </c>
      <c r="B9" s="16" t="s">
        <v>594</v>
      </c>
      <c r="C9" s="12" t="s">
        <v>82</v>
      </c>
      <c r="D9" s="13"/>
      <c r="E9" s="13"/>
      <c r="F9" s="13"/>
      <c r="G9" s="13"/>
      <c r="H9" s="14"/>
      <c r="I9" s="13">
        <f>2.5+2.4+2.3+3.4+3.4+3.3</f>
        <v>17.3</v>
      </c>
      <c r="J9" s="13">
        <f>2.6+2.5+2.4+3.5+3.5</f>
        <v>14.5</v>
      </c>
      <c r="K9" s="13">
        <f>SUM(I9:J9)</f>
        <v>31.8</v>
      </c>
      <c r="L9" s="14">
        <v>3</v>
      </c>
      <c r="M9" s="13">
        <f>2.6+2.6+2.7+3.6+3.6+3.5</f>
        <v>18.600000000000001</v>
      </c>
      <c r="N9" s="13">
        <f>2.6+2.7+2.6+3.7+3.6+3.6</f>
        <v>18.8</v>
      </c>
      <c r="O9" s="13">
        <f>M9+N9</f>
        <v>37.400000000000006</v>
      </c>
      <c r="P9" s="14">
        <v>13</v>
      </c>
      <c r="Q9" s="15">
        <f t="shared" si="0"/>
        <v>16</v>
      </c>
    </row>
    <row r="10" spans="1:17" x14ac:dyDescent="0.25">
      <c r="A10" s="12">
        <v>5</v>
      </c>
      <c r="B10" s="12" t="s">
        <v>325</v>
      </c>
      <c r="C10" s="12" t="s">
        <v>5</v>
      </c>
      <c r="D10" s="13">
        <v>21.3</v>
      </c>
      <c r="E10" s="13">
        <v>19.899999999999999</v>
      </c>
      <c r="F10" s="13">
        <v>19.8</v>
      </c>
      <c r="G10" s="13">
        <f>SUM(D10:F10)</f>
        <v>61</v>
      </c>
      <c r="H10" s="14">
        <v>13</v>
      </c>
      <c r="I10" s="13">
        <f>2.4+2.3+2.3+3.3+3.3+3.4</f>
        <v>16.999999999999996</v>
      </c>
      <c r="J10" s="13">
        <f>2.5+2.4+2.3+3.4+3.4+3.5</f>
        <v>17.5</v>
      </c>
      <c r="K10" s="13">
        <f>SUM(I10:J10)</f>
        <v>34.5</v>
      </c>
      <c r="L10" s="14">
        <v>3</v>
      </c>
      <c r="M10" s="13"/>
      <c r="N10" s="13"/>
      <c r="O10" s="13"/>
      <c r="P10" s="14"/>
      <c r="Q10" s="15">
        <f t="shared" si="0"/>
        <v>16</v>
      </c>
    </row>
    <row r="11" spans="1:17" x14ac:dyDescent="0.25">
      <c r="A11" s="12">
        <v>6</v>
      </c>
      <c r="B11" s="16" t="s">
        <v>593</v>
      </c>
      <c r="C11" s="12" t="s">
        <v>397</v>
      </c>
      <c r="D11" s="13"/>
      <c r="E11" s="13"/>
      <c r="F11" s="13"/>
      <c r="G11" s="13"/>
      <c r="H11" s="14"/>
      <c r="I11" s="13">
        <f>2.7+2.5+2.6+3.6+3.5+3.6</f>
        <v>18.5</v>
      </c>
      <c r="J11" s="13">
        <f>2.5+2.6+2.6+3.5+3.5+3.4</f>
        <v>18.099999999999998</v>
      </c>
      <c r="K11" s="13">
        <f>SUM(I11:J11)</f>
        <v>36.599999999999994</v>
      </c>
      <c r="L11" s="14">
        <v>13</v>
      </c>
      <c r="M11" s="13"/>
      <c r="N11" s="13"/>
      <c r="O11" s="13"/>
      <c r="P11" s="14"/>
      <c r="Q11" s="15">
        <f t="shared" si="0"/>
        <v>13</v>
      </c>
    </row>
    <row r="12" spans="1:17" x14ac:dyDescent="0.25">
      <c r="A12" s="12">
        <v>7</v>
      </c>
      <c r="B12" s="16" t="s">
        <v>592</v>
      </c>
      <c r="C12" s="12" t="s">
        <v>95</v>
      </c>
      <c r="D12" s="13"/>
      <c r="E12" s="13"/>
      <c r="F12" s="13"/>
      <c r="G12" s="13"/>
      <c r="H12" s="14"/>
      <c r="I12" s="13">
        <f>2.5+2.5+2.4+3.5+3.4+3.4</f>
        <v>17.7</v>
      </c>
      <c r="J12" s="13">
        <f>2.6+2.6+2.6+3.6+3.7+3.6</f>
        <v>18.700000000000003</v>
      </c>
      <c r="K12" s="13">
        <f>SUM(I12:J12)</f>
        <v>36.400000000000006</v>
      </c>
      <c r="L12" s="14">
        <v>13</v>
      </c>
      <c r="M12" s="13"/>
      <c r="N12" s="13"/>
      <c r="O12" s="13"/>
      <c r="P12" s="14"/>
      <c r="Q12" s="15">
        <f t="shared" si="0"/>
        <v>13</v>
      </c>
    </row>
    <row r="13" spans="1:17" x14ac:dyDescent="0.25">
      <c r="A13" s="12">
        <v>8</v>
      </c>
      <c r="B13" s="12" t="s">
        <v>328</v>
      </c>
      <c r="C13" s="12" t="s">
        <v>72</v>
      </c>
      <c r="D13" s="13">
        <v>20.6</v>
      </c>
      <c r="E13" s="13">
        <v>20.2</v>
      </c>
      <c r="F13" s="13">
        <v>18.5</v>
      </c>
      <c r="G13" s="13">
        <f>SUM(D13:F13)</f>
        <v>59.3</v>
      </c>
      <c r="H13" s="14">
        <v>3</v>
      </c>
      <c r="I13" s="13"/>
      <c r="J13" s="13"/>
      <c r="K13" s="13"/>
      <c r="L13" s="14"/>
      <c r="M13" s="13">
        <f>2.6+2.6+2.5+3.6+3.5+3.5</f>
        <v>18.3</v>
      </c>
      <c r="N13" s="13">
        <f>2.4+2.4+2.4+3.5+3.4+3.5</f>
        <v>17.600000000000001</v>
      </c>
      <c r="O13" s="13">
        <f>M13+N13</f>
        <v>35.900000000000006</v>
      </c>
      <c r="P13" s="14">
        <v>3</v>
      </c>
      <c r="Q13" s="15">
        <f t="shared" si="0"/>
        <v>6</v>
      </c>
    </row>
    <row r="14" spans="1:17" x14ac:dyDescent="0.25">
      <c r="A14" s="12">
        <v>9</v>
      </c>
      <c r="B14" s="16" t="s">
        <v>590</v>
      </c>
      <c r="C14" s="12" t="s">
        <v>15</v>
      </c>
      <c r="D14" s="13"/>
      <c r="E14" s="13"/>
      <c r="F14" s="13"/>
      <c r="G14" s="13"/>
      <c r="H14" s="14"/>
      <c r="I14" s="13">
        <f>2.3+2.2+2.4+3.3+3.3+3.4</f>
        <v>16.899999999999999</v>
      </c>
      <c r="J14" s="13">
        <f>2.4+2.4+2.4+3.3+3.4+3.3</f>
        <v>17.2</v>
      </c>
      <c r="K14" s="13">
        <f>SUM(I14:J14)</f>
        <v>34.099999999999994</v>
      </c>
      <c r="L14" s="14">
        <v>3</v>
      </c>
      <c r="M14" s="13">
        <f>2.6+2.5+2.4+3.5+3.5+3.4</f>
        <v>17.899999999999999</v>
      </c>
      <c r="N14" s="13">
        <f>2.3+2.3+2.3+3.3+3.3+3.2</f>
        <v>16.7</v>
      </c>
      <c r="O14" s="13">
        <f>M14+N14</f>
        <v>34.599999999999994</v>
      </c>
      <c r="P14" s="14">
        <v>3</v>
      </c>
      <c r="Q14" s="15">
        <f t="shared" si="0"/>
        <v>6</v>
      </c>
    </row>
    <row r="15" spans="1:17" x14ac:dyDescent="0.25">
      <c r="A15" s="12">
        <v>10</v>
      </c>
      <c r="B15" s="16" t="s">
        <v>595</v>
      </c>
      <c r="C15" s="12" t="s">
        <v>444</v>
      </c>
      <c r="D15" s="13"/>
      <c r="E15" s="13"/>
      <c r="F15" s="13"/>
      <c r="G15" s="13"/>
      <c r="H15" s="14"/>
      <c r="I15" s="13">
        <f>2.3+2.1+2.3+3.1+3.2+3.2</f>
        <v>16.2</v>
      </c>
      <c r="J15" s="13">
        <f>2.2+2.1+2.2+3.1+3.2+3.2</f>
        <v>16</v>
      </c>
      <c r="K15" s="13">
        <f>SUM(I15:J15)</f>
        <v>32.200000000000003</v>
      </c>
      <c r="L15" s="14">
        <v>3</v>
      </c>
      <c r="M15" s="13">
        <f>2.4+2.5+2.3+3.3+3.4+3.3</f>
        <v>17.2</v>
      </c>
      <c r="N15" s="13">
        <f>2.2+2.1+2.1+3.2+3.1+3.1</f>
        <v>15.8</v>
      </c>
      <c r="O15" s="13">
        <f>M15+N15</f>
        <v>33</v>
      </c>
      <c r="P15" s="14">
        <v>3</v>
      </c>
      <c r="Q15" s="15">
        <f t="shared" si="0"/>
        <v>6</v>
      </c>
    </row>
    <row r="16" spans="1:17" x14ac:dyDescent="0.25">
      <c r="A16" s="12">
        <v>11</v>
      </c>
      <c r="B16" s="12" t="s">
        <v>327</v>
      </c>
      <c r="C16" s="12" t="s">
        <v>5</v>
      </c>
      <c r="D16" s="13">
        <v>20.7</v>
      </c>
      <c r="E16" s="13">
        <v>18.7</v>
      </c>
      <c r="F16" s="13">
        <v>19.399999999999999</v>
      </c>
      <c r="G16" s="13">
        <f>SUM(D16:F16)</f>
        <v>58.8</v>
      </c>
      <c r="H16" s="14">
        <v>3</v>
      </c>
      <c r="I16" s="13">
        <f>2.5+2.4+2.4+3.4+3.4+3.5</f>
        <v>17.600000000000001</v>
      </c>
      <c r="J16" s="13">
        <f>2.6+2.6+2.5+3.6+3.6+3.6</f>
        <v>18.5</v>
      </c>
      <c r="K16" s="13">
        <f>SUM(I16:J16)</f>
        <v>36.1</v>
      </c>
      <c r="L16" s="14">
        <v>3</v>
      </c>
      <c r="M16" s="13"/>
      <c r="N16" s="13"/>
      <c r="O16" s="13"/>
      <c r="P16" s="14"/>
      <c r="Q16" s="15">
        <f t="shared" si="0"/>
        <v>6</v>
      </c>
    </row>
    <row r="17" spans="1:17" x14ac:dyDescent="0.25">
      <c r="A17" s="12">
        <v>12</v>
      </c>
      <c r="B17" s="16" t="s">
        <v>731</v>
      </c>
      <c r="C17" s="12" t="s">
        <v>57</v>
      </c>
      <c r="D17" s="13"/>
      <c r="E17" s="13"/>
      <c r="F17" s="13"/>
      <c r="G17" s="13"/>
      <c r="H17" s="14"/>
      <c r="I17" s="13"/>
      <c r="J17" s="13"/>
      <c r="K17" s="13"/>
      <c r="L17" s="14"/>
      <c r="M17" s="13">
        <f>2.7+2.7+2.7+3.6+3.6+3.6</f>
        <v>18.900000000000002</v>
      </c>
      <c r="N17" s="13">
        <f>2.6+2.6+2.5+3.5+3.4+3.4</f>
        <v>18</v>
      </c>
      <c r="O17" s="13">
        <f>M17+N17</f>
        <v>36.900000000000006</v>
      </c>
      <c r="P17" s="14">
        <v>3</v>
      </c>
      <c r="Q17" s="15">
        <f t="shared" si="0"/>
        <v>3</v>
      </c>
    </row>
    <row r="18" spans="1:17" x14ac:dyDescent="0.25">
      <c r="A18" s="12">
        <v>13</v>
      </c>
      <c r="B18" s="16" t="s">
        <v>786</v>
      </c>
      <c r="C18" s="12" t="s">
        <v>304</v>
      </c>
      <c r="D18" s="13"/>
      <c r="E18" s="13"/>
      <c r="F18" s="13"/>
      <c r="G18" s="13"/>
      <c r="H18" s="14"/>
      <c r="I18" s="13"/>
      <c r="J18" s="13"/>
      <c r="K18" s="13"/>
      <c r="L18" s="14"/>
      <c r="M18" s="13">
        <f>2.7+2.7+2.6+3.6+3.7+3.6</f>
        <v>18.900000000000002</v>
      </c>
      <c r="N18" s="13">
        <f>2.2+2.3+2.3+3.3+3.2+3.3</f>
        <v>16.600000000000001</v>
      </c>
      <c r="O18" s="13">
        <f>M18+N18</f>
        <v>35.5</v>
      </c>
      <c r="P18" s="14">
        <v>3</v>
      </c>
      <c r="Q18" s="15">
        <f t="shared" si="0"/>
        <v>3</v>
      </c>
    </row>
    <row r="19" spans="1:17" x14ac:dyDescent="0.25">
      <c r="A19" s="12">
        <v>14</v>
      </c>
      <c r="B19" s="16" t="s">
        <v>567</v>
      </c>
      <c r="C19" s="12" t="s">
        <v>493</v>
      </c>
      <c r="D19" s="13"/>
      <c r="E19" s="13"/>
      <c r="F19" s="13"/>
      <c r="G19" s="13"/>
      <c r="H19" s="14"/>
      <c r="I19" s="13"/>
      <c r="J19" s="13"/>
      <c r="K19" s="13"/>
      <c r="L19" s="14"/>
      <c r="M19" s="13">
        <f>2.3+2.4+2.4+3.3+3.4+3.3</f>
        <v>17.099999999999998</v>
      </c>
      <c r="N19" s="13">
        <f>2.4+2.4+2.3+3.5+3.3+3.3</f>
        <v>17.2</v>
      </c>
      <c r="O19" s="13">
        <f>M19+N19</f>
        <v>34.299999999999997</v>
      </c>
      <c r="P19" s="14">
        <v>3</v>
      </c>
      <c r="Q19" s="15">
        <f t="shared" si="0"/>
        <v>3</v>
      </c>
    </row>
    <row r="20" spans="1:17" x14ac:dyDescent="0.25">
      <c r="A20" s="12">
        <v>15</v>
      </c>
      <c r="B20" s="12" t="s">
        <v>332</v>
      </c>
      <c r="C20" s="12" t="s">
        <v>6</v>
      </c>
      <c r="D20" s="13">
        <v>21.5</v>
      </c>
      <c r="E20" s="13">
        <v>18.8</v>
      </c>
      <c r="F20" s="13">
        <v>18.3</v>
      </c>
      <c r="G20" s="13">
        <f>SUM(D20:F20)</f>
        <v>58.599999999999994</v>
      </c>
      <c r="H20" s="14">
        <v>3</v>
      </c>
      <c r="I20" s="13"/>
      <c r="J20" s="13"/>
      <c r="K20" s="13"/>
      <c r="L20" s="14"/>
      <c r="M20" s="13"/>
      <c r="N20" s="13"/>
      <c r="O20" s="13"/>
      <c r="P20" s="14"/>
      <c r="Q20" s="15">
        <f t="shared" si="0"/>
        <v>3</v>
      </c>
    </row>
    <row r="21" spans="1:17" x14ac:dyDescent="0.25">
      <c r="A21" s="12">
        <v>16</v>
      </c>
      <c r="B21" s="12" t="s">
        <v>324</v>
      </c>
      <c r="C21" s="12" t="s">
        <v>15</v>
      </c>
      <c r="D21" s="13">
        <v>20.8</v>
      </c>
      <c r="E21" s="13">
        <v>18.8</v>
      </c>
      <c r="F21" s="13">
        <v>18.5</v>
      </c>
      <c r="G21" s="13">
        <f>SUM(D21:F21)</f>
        <v>58.1</v>
      </c>
      <c r="H21" s="14">
        <v>3</v>
      </c>
      <c r="I21" s="13"/>
      <c r="J21" s="13"/>
      <c r="K21" s="13"/>
      <c r="L21" s="14"/>
      <c r="M21" s="13"/>
      <c r="N21" s="13"/>
      <c r="O21" s="13"/>
      <c r="P21" s="14"/>
      <c r="Q21" s="15">
        <f t="shared" si="0"/>
        <v>3</v>
      </c>
    </row>
    <row r="22" spans="1:17" x14ac:dyDescent="0.25">
      <c r="A22" s="12">
        <v>17</v>
      </c>
      <c r="B22" s="12" t="s">
        <v>329</v>
      </c>
      <c r="C22" s="12" t="s">
        <v>72</v>
      </c>
      <c r="D22" s="13">
        <v>19.5</v>
      </c>
      <c r="E22" s="13">
        <v>19</v>
      </c>
      <c r="F22" s="13">
        <v>18.3</v>
      </c>
      <c r="G22" s="13">
        <f>SUM(D22:F22)</f>
        <v>56.8</v>
      </c>
      <c r="H22" s="14">
        <v>3</v>
      </c>
      <c r="I22" s="13"/>
      <c r="J22" s="13"/>
      <c r="K22" s="13"/>
      <c r="L22" s="14"/>
      <c r="M22" s="13"/>
      <c r="N22" s="13"/>
      <c r="O22" s="13"/>
      <c r="P22" s="14"/>
      <c r="Q22" s="15">
        <f t="shared" si="0"/>
        <v>3</v>
      </c>
    </row>
    <row r="23" spans="1:17" x14ac:dyDescent="0.25">
      <c r="A23" s="12">
        <v>18</v>
      </c>
      <c r="B23" s="12" t="s">
        <v>323</v>
      </c>
      <c r="C23" s="12" t="s">
        <v>15</v>
      </c>
      <c r="D23" s="13">
        <v>20</v>
      </c>
      <c r="E23" s="13">
        <v>17.399999999999999</v>
      </c>
      <c r="F23" s="13">
        <v>15.7</v>
      </c>
      <c r="G23" s="13">
        <f>SUM(D23:F23)</f>
        <v>53.099999999999994</v>
      </c>
      <c r="H23" s="14">
        <v>3</v>
      </c>
      <c r="I23" s="13"/>
      <c r="J23" s="13"/>
      <c r="K23" s="13"/>
      <c r="L23" s="14"/>
      <c r="M23" s="13"/>
      <c r="N23" s="13"/>
      <c r="O23" s="13"/>
      <c r="P23" s="14"/>
      <c r="Q23" s="15">
        <f t="shared" si="0"/>
        <v>3</v>
      </c>
    </row>
    <row r="24" spans="1:17" x14ac:dyDescent="0.25">
      <c r="A24" s="12">
        <v>19</v>
      </c>
      <c r="B24" s="16" t="s">
        <v>591</v>
      </c>
      <c r="C24" s="12" t="s">
        <v>15</v>
      </c>
      <c r="D24" s="13"/>
      <c r="E24" s="13"/>
      <c r="F24" s="13"/>
      <c r="G24" s="13"/>
      <c r="H24" s="14"/>
      <c r="I24" s="13"/>
      <c r="J24" s="13"/>
      <c r="K24" s="13"/>
      <c r="L24" s="14"/>
      <c r="M24" s="13"/>
      <c r="N24" s="13"/>
      <c r="O24" s="13"/>
      <c r="P24" s="14"/>
      <c r="Q24" s="15">
        <f t="shared" si="0"/>
        <v>0</v>
      </c>
    </row>
  </sheetData>
  <sortState ref="B4:Q22">
    <sortCondition descending="1" ref="Q4:Q22"/>
  </sortState>
  <mergeCells count="1">
    <mergeCell ref="A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42578125" customWidth="1"/>
    <col min="5" max="5" width="5.85546875" customWidth="1"/>
    <col min="6" max="6" width="6.140625" customWidth="1"/>
    <col min="7" max="7" width="11.85546875" bestFit="1" customWidth="1"/>
    <col min="8" max="8" width="18.42578125" customWidth="1"/>
    <col min="9" max="9" width="6.85546875" customWidth="1"/>
    <col min="10" max="10" width="7.42578125" customWidth="1"/>
    <col min="12" max="12" width="18.85546875" customWidth="1"/>
    <col min="13" max="13" width="6.85546875" customWidth="1"/>
    <col min="14" max="14" width="8.140625" customWidth="1"/>
    <col min="16" max="16" width="19.42578125" customWidth="1"/>
    <col min="17" max="17" width="24.71093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336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335</v>
      </c>
      <c r="C6" s="28" t="s">
        <v>15</v>
      </c>
      <c r="D6" s="29">
        <v>17.600000000000001</v>
      </c>
      <c r="E6" s="29">
        <v>16.899999999999999</v>
      </c>
      <c r="F6" s="29">
        <v>18.2</v>
      </c>
      <c r="G6" s="29">
        <f>SUM(D6:F6)</f>
        <v>52.7</v>
      </c>
      <c r="H6" s="31">
        <v>23</v>
      </c>
      <c r="I6" s="29"/>
      <c r="J6" s="29"/>
      <c r="K6" s="29"/>
      <c r="L6" s="31"/>
      <c r="M6" s="29"/>
      <c r="N6" s="29"/>
      <c r="O6" s="29"/>
      <c r="P6" s="31"/>
      <c r="Q6" s="32">
        <f>H6+L6+P6</f>
        <v>23</v>
      </c>
    </row>
    <row r="7" spans="1:17" x14ac:dyDescent="0.25">
      <c r="A7" s="28">
        <v>2</v>
      </c>
      <c r="B7" s="30" t="s">
        <v>596</v>
      </c>
      <c r="C7" s="28" t="s">
        <v>9</v>
      </c>
      <c r="D7" s="29"/>
      <c r="E7" s="29"/>
      <c r="F7" s="29"/>
      <c r="G7" s="29"/>
      <c r="H7" s="31"/>
      <c r="I7" s="29">
        <f>2.6+2.7+2.6+3.7+3.8+3.8</f>
        <v>19.200000000000003</v>
      </c>
      <c r="J7" s="29">
        <f>2.6+2.7+2.6+3.6+3.7+3.6</f>
        <v>18.8</v>
      </c>
      <c r="K7" s="29">
        <f>SUM(I7:J7)</f>
        <v>38</v>
      </c>
      <c r="L7" s="31">
        <v>23</v>
      </c>
      <c r="M7" s="29"/>
      <c r="N7" s="29"/>
      <c r="O7" s="29"/>
      <c r="P7" s="31"/>
      <c r="Q7" s="32">
        <f>H7+L7+P7</f>
        <v>23</v>
      </c>
    </row>
    <row r="8" spans="1:17" x14ac:dyDescent="0.25">
      <c r="B8" s="2"/>
    </row>
  </sheetData>
  <sortState ref="B4:Q5">
    <sortCondition ref="Q4:Q5"/>
  </sortState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6" sqref="A6:A7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5703125" customWidth="1"/>
    <col min="5" max="5" width="6" customWidth="1"/>
    <col min="6" max="6" width="6.28515625" customWidth="1"/>
    <col min="7" max="7" width="11.85546875" bestFit="1" customWidth="1"/>
    <col min="8" max="8" width="20" customWidth="1"/>
    <col min="9" max="10" width="7.7109375" customWidth="1"/>
    <col min="12" max="12" width="18.7109375" customWidth="1"/>
    <col min="13" max="13" width="8" customWidth="1"/>
    <col min="14" max="14" width="8.28515625" customWidth="1"/>
    <col min="16" max="16" width="19.5703125" customWidth="1"/>
    <col min="17" max="17" width="23.28515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322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331</v>
      </c>
      <c r="C6" s="28" t="s">
        <v>6</v>
      </c>
      <c r="D6" s="29">
        <v>21.3</v>
      </c>
      <c r="E6" s="29">
        <v>18.7</v>
      </c>
      <c r="F6" s="29">
        <v>20.2</v>
      </c>
      <c r="G6" s="29">
        <f>SUM(D6:F6)</f>
        <v>60.2</v>
      </c>
      <c r="H6" s="31">
        <v>18</v>
      </c>
      <c r="I6" s="29">
        <f>2.4+2.4+2.4+3.6+3.4+3.5</f>
        <v>17.7</v>
      </c>
      <c r="J6" s="29">
        <f>2.5+2.5+2.6+3.5+3.5+3.6</f>
        <v>18.2</v>
      </c>
      <c r="K6" s="29">
        <f>SUM(I6:J6)</f>
        <v>35.9</v>
      </c>
      <c r="L6" s="31">
        <v>23</v>
      </c>
      <c r="M6" s="29">
        <f>2.5+2.5+2.5+3.6+3.5+3.6</f>
        <v>18.2</v>
      </c>
      <c r="N6" s="29">
        <f>2.2+2.3+2.2+3.5+3.4+3.4</f>
        <v>17</v>
      </c>
      <c r="O6" s="29">
        <f>M6+N6</f>
        <v>35.200000000000003</v>
      </c>
      <c r="P6" s="31">
        <v>18</v>
      </c>
      <c r="Q6" s="32">
        <f>H6+L6+P6</f>
        <v>59</v>
      </c>
    </row>
    <row r="7" spans="1:17" x14ac:dyDescent="0.25">
      <c r="A7" s="28">
        <v>2</v>
      </c>
      <c r="B7" s="28" t="s">
        <v>321</v>
      </c>
      <c r="C7" s="28" t="s">
        <v>72</v>
      </c>
      <c r="D7" s="29">
        <v>22.1</v>
      </c>
      <c r="E7" s="29">
        <v>19.399999999999999</v>
      </c>
      <c r="F7" s="29">
        <v>20.9</v>
      </c>
      <c r="G7" s="29">
        <f>SUM(D7:F7)</f>
        <v>62.4</v>
      </c>
      <c r="H7" s="31">
        <v>23</v>
      </c>
      <c r="I7" s="29"/>
      <c r="J7" s="29"/>
      <c r="K7" s="29"/>
      <c r="L7" s="31"/>
      <c r="M7" s="29">
        <f>2.7+2.7+2.6+3.6+3.7+3.7</f>
        <v>19</v>
      </c>
      <c r="N7" s="29">
        <f>2.4+2.4+2.3+3.6+3.4+3.5</f>
        <v>17.600000000000001</v>
      </c>
      <c r="O7" s="29">
        <f>M7+N7</f>
        <v>36.6</v>
      </c>
      <c r="P7" s="31">
        <v>23</v>
      </c>
      <c r="Q7" s="32">
        <f>H7+L7+P7</f>
        <v>46</v>
      </c>
    </row>
  </sheetData>
  <sortState ref="B4:Q5">
    <sortCondition descending="1" ref="Q4:Q5"/>
  </sortState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18.85546875" style="4" customWidth="1"/>
    <col min="4" max="4" width="6" style="4" customWidth="1"/>
    <col min="5" max="5" width="6.140625" style="4" customWidth="1"/>
    <col min="6" max="6" width="4.85546875" style="4" customWidth="1"/>
    <col min="7" max="7" width="11.42578125" style="4"/>
    <col min="8" max="8" width="17.7109375" style="4" customWidth="1"/>
    <col min="9" max="9" width="4.5703125" style="4" customWidth="1"/>
    <col min="10" max="10" width="6.140625" style="4" customWidth="1"/>
    <col min="11" max="11" width="11.42578125" style="4"/>
    <col min="12" max="12" width="18.42578125" style="4" customWidth="1"/>
    <col min="13" max="13" width="6.42578125" style="4" customWidth="1"/>
    <col min="14" max="14" width="4.5703125" style="4" customWidth="1"/>
    <col min="15" max="15" width="11.42578125" style="4"/>
    <col min="16" max="16" width="19.85546875" style="4" customWidth="1"/>
    <col min="17" max="17" width="23.42578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6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173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132</v>
      </c>
      <c r="C6" s="12" t="s">
        <v>57</v>
      </c>
      <c r="D6" s="13">
        <v>18.7</v>
      </c>
      <c r="E6" s="13">
        <v>17.7</v>
      </c>
      <c r="F6" s="13">
        <v>17.399999999999999</v>
      </c>
      <c r="G6" s="13">
        <f>SUM(D6:F6)</f>
        <v>53.8</v>
      </c>
      <c r="H6" s="14">
        <v>23</v>
      </c>
      <c r="I6" s="13"/>
      <c r="J6" s="13"/>
      <c r="K6" s="13"/>
      <c r="L6" s="14"/>
      <c r="M6" s="13">
        <f>2.9+2.6+2.6+3.9+3.6+3.6</f>
        <v>19.2</v>
      </c>
      <c r="N6" s="13">
        <f>2.6+2.7+2.7+3.7+3.7+3.6</f>
        <v>19</v>
      </c>
      <c r="O6" s="13">
        <f>M6+N6</f>
        <v>38.200000000000003</v>
      </c>
      <c r="P6" s="14">
        <v>23</v>
      </c>
      <c r="Q6" s="15">
        <f t="shared" ref="Q6:Q17" si="0">H6+L6+P6</f>
        <v>46</v>
      </c>
    </row>
    <row r="7" spans="1:17" x14ac:dyDescent="0.25">
      <c r="A7" s="12">
        <v>2</v>
      </c>
      <c r="B7" s="16" t="s">
        <v>393</v>
      </c>
      <c r="C7" s="12" t="s">
        <v>397</v>
      </c>
      <c r="D7" s="13"/>
      <c r="E7" s="13"/>
      <c r="F7" s="13"/>
      <c r="G7" s="13"/>
      <c r="H7" s="14"/>
      <c r="I7" s="13">
        <f>2.5+3.4+2.5+3.4+3.5+3.3</f>
        <v>18.600000000000001</v>
      </c>
      <c r="J7" s="13">
        <f>2.7+2.5+2.6+4.1+4.2+4.2</f>
        <v>20.3</v>
      </c>
      <c r="K7" s="13">
        <f t="shared" ref="K7:K12" si="1">SUM(I7:J7)</f>
        <v>38.900000000000006</v>
      </c>
      <c r="L7" s="14">
        <v>18</v>
      </c>
      <c r="M7" s="13">
        <f>2.5+2.3+2.3+3.5+3.3+3.3</f>
        <v>17.2</v>
      </c>
      <c r="N7" s="13">
        <f>2.6+2.6+2.7+3.7+3.6+3.8</f>
        <v>19</v>
      </c>
      <c r="O7" s="13">
        <f>M7+N7</f>
        <v>36.200000000000003</v>
      </c>
      <c r="P7" s="14">
        <v>13</v>
      </c>
      <c r="Q7" s="15">
        <f t="shared" si="0"/>
        <v>31</v>
      </c>
    </row>
    <row r="8" spans="1:17" x14ac:dyDescent="0.25">
      <c r="A8" s="12">
        <v>3</v>
      </c>
      <c r="B8" s="12" t="s">
        <v>130</v>
      </c>
      <c r="C8" s="12" t="s">
        <v>91</v>
      </c>
      <c r="D8" s="13">
        <v>17.399999999999999</v>
      </c>
      <c r="E8" s="13">
        <v>17.8</v>
      </c>
      <c r="F8" s="13">
        <v>15.7</v>
      </c>
      <c r="G8" s="13">
        <f>SUM(D8:F8)</f>
        <v>50.900000000000006</v>
      </c>
      <c r="H8" s="14">
        <v>13</v>
      </c>
      <c r="I8" s="13">
        <f>2.6+2.6+2.4+3.5+3.5+3.5</f>
        <v>18.100000000000001</v>
      </c>
      <c r="J8" s="13">
        <f>2.6+2.3+2.3+4+3.7+3.9</f>
        <v>18.799999999999997</v>
      </c>
      <c r="K8" s="13">
        <f t="shared" si="1"/>
        <v>36.9</v>
      </c>
      <c r="L8" s="14">
        <v>13</v>
      </c>
      <c r="M8" s="13">
        <f>2.6+2.3+2.2+3.6+3.1+3.2</f>
        <v>17</v>
      </c>
      <c r="N8" s="13">
        <f>2.6+2.5+2.5+3.7+3.5+3.6</f>
        <v>18.400000000000002</v>
      </c>
      <c r="O8" s="13">
        <f>M8+N8</f>
        <v>35.400000000000006</v>
      </c>
      <c r="P8" s="14">
        <v>3</v>
      </c>
      <c r="Q8" s="15">
        <f t="shared" si="0"/>
        <v>29</v>
      </c>
    </row>
    <row r="9" spans="1:17" x14ac:dyDescent="0.25">
      <c r="A9" s="12">
        <v>4</v>
      </c>
      <c r="B9" s="27" t="s">
        <v>390</v>
      </c>
      <c r="C9" s="12" t="s">
        <v>391</v>
      </c>
      <c r="D9" s="13"/>
      <c r="E9" s="13"/>
      <c r="F9" s="13"/>
      <c r="G9" s="13"/>
      <c r="H9" s="14"/>
      <c r="I9" s="13">
        <f>2.5+2.5+2.5+3.2+3.1+4.1</f>
        <v>17.899999999999999</v>
      </c>
      <c r="J9" s="13">
        <f>2.5+2.5+2.6+4.2+4.1+4.1</f>
        <v>20</v>
      </c>
      <c r="K9" s="13">
        <f t="shared" si="1"/>
        <v>37.9</v>
      </c>
      <c r="L9" s="14">
        <v>13</v>
      </c>
      <c r="M9" s="13">
        <f>2.6+2.4+2.6+3.5+3.4+3.6</f>
        <v>18.100000000000001</v>
      </c>
      <c r="N9" s="13">
        <f>2.5+2.5+2.6+3.4+3.4+3.7</f>
        <v>18.100000000000001</v>
      </c>
      <c r="O9" s="13">
        <f>M9+N9</f>
        <v>36.200000000000003</v>
      </c>
      <c r="P9" s="14">
        <v>13</v>
      </c>
      <c r="Q9" s="15">
        <f t="shared" si="0"/>
        <v>26</v>
      </c>
    </row>
    <row r="10" spans="1:17" x14ac:dyDescent="0.25">
      <c r="A10" s="12">
        <v>5</v>
      </c>
      <c r="B10" s="12" t="s">
        <v>170</v>
      </c>
      <c r="C10" s="12" t="s">
        <v>171</v>
      </c>
      <c r="D10" s="13">
        <v>17.3</v>
      </c>
      <c r="E10" s="13">
        <v>18.2</v>
      </c>
      <c r="F10" s="13">
        <v>16.5</v>
      </c>
      <c r="G10" s="13">
        <f>SUM(D10:F10)</f>
        <v>52</v>
      </c>
      <c r="H10" s="14">
        <v>18</v>
      </c>
      <c r="I10" s="13">
        <f>2.6+2.5+2.5+3.3+3.3+3.4</f>
        <v>17.599999999999998</v>
      </c>
      <c r="J10" s="13">
        <f>2.4+2.3+2.4+4+3.7+3.8</f>
        <v>18.600000000000001</v>
      </c>
      <c r="K10" s="13">
        <f t="shared" si="1"/>
        <v>36.200000000000003</v>
      </c>
      <c r="L10" s="14">
        <v>3</v>
      </c>
      <c r="M10" s="13">
        <f>2.6+2.4+2.4+3.7+3.4+3.3</f>
        <v>17.8</v>
      </c>
      <c r="N10" s="13">
        <f>2.4+2.3+2.5+3.5+3.3+3.4</f>
        <v>17.399999999999999</v>
      </c>
      <c r="O10" s="13">
        <f>M10+N10</f>
        <v>35.200000000000003</v>
      </c>
      <c r="P10" s="14">
        <v>3</v>
      </c>
      <c r="Q10" s="15">
        <f t="shared" si="0"/>
        <v>24</v>
      </c>
    </row>
    <row r="11" spans="1:17" x14ac:dyDescent="0.25">
      <c r="A11" s="12">
        <v>6</v>
      </c>
      <c r="B11" s="16" t="s">
        <v>392</v>
      </c>
      <c r="C11" s="12" t="s">
        <v>9</v>
      </c>
      <c r="D11" s="13"/>
      <c r="E11" s="13"/>
      <c r="F11" s="13"/>
      <c r="G11" s="13"/>
      <c r="H11" s="14"/>
      <c r="I11" s="13">
        <f>2.7+2.7+2.7+3.7+3.6+3.9</f>
        <v>19.3</v>
      </c>
      <c r="J11" s="13">
        <f>2.8+2.5+2.7+4.2+4.2+4.2</f>
        <v>20.599999999999998</v>
      </c>
      <c r="K11" s="13">
        <f t="shared" si="1"/>
        <v>39.9</v>
      </c>
      <c r="L11" s="14">
        <v>23</v>
      </c>
      <c r="M11" s="13"/>
      <c r="N11" s="13"/>
      <c r="O11" s="13"/>
      <c r="P11" s="14"/>
      <c r="Q11" s="15">
        <f t="shared" si="0"/>
        <v>23</v>
      </c>
    </row>
    <row r="12" spans="1:17" ht="16.5" customHeight="1" x14ac:dyDescent="0.25">
      <c r="A12" s="12">
        <v>7</v>
      </c>
      <c r="B12" s="16" t="s">
        <v>395</v>
      </c>
      <c r="C12" s="12" t="s">
        <v>82</v>
      </c>
      <c r="D12" s="13"/>
      <c r="E12" s="13"/>
      <c r="F12" s="13"/>
      <c r="G12" s="13"/>
      <c r="H12" s="14"/>
      <c r="I12" s="13">
        <f>2.5+2.5+2.4+3.1+3.1+2.9</f>
        <v>16.5</v>
      </c>
      <c r="J12" s="13">
        <f>2.6+2.6+2.5+4.3+4.1+4.1</f>
        <v>20.200000000000003</v>
      </c>
      <c r="K12" s="13">
        <f t="shared" si="1"/>
        <v>36.700000000000003</v>
      </c>
      <c r="L12" s="14">
        <v>3</v>
      </c>
      <c r="M12" s="13">
        <f>2.7+2.4+2.4+3.7+3.3+3.4</f>
        <v>17.899999999999999</v>
      </c>
      <c r="N12" s="13">
        <f>2.5+2.7+2.6+3.6+3.6+3.7</f>
        <v>18.7</v>
      </c>
      <c r="O12" s="13">
        <f>M12+N12</f>
        <v>36.599999999999994</v>
      </c>
      <c r="P12" s="14">
        <v>18</v>
      </c>
      <c r="Q12" s="15">
        <f t="shared" si="0"/>
        <v>21</v>
      </c>
    </row>
    <row r="13" spans="1:17" x14ac:dyDescent="0.25">
      <c r="A13" s="12">
        <v>8</v>
      </c>
      <c r="B13" s="12" t="s">
        <v>131</v>
      </c>
      <c r="C13" s="12" t="s">
        <v>15</v>
      </c>
      <c r="D13" s="13">
        <v>17.100000000000001</v>
      </c>
      <c r="E13" s="13">
        <v>17</v>
      </c>
      <c r="F13" s="13">
        <v>15.8</v>
      </c>
      <c r="G13" s="13">
        <f>SUM(D13:F13)</f>
        <v>49.900000000000006</v>
      </c>
      <c r="H13" s="14">
        <v>13</v>
      </c>
      <c r="I13" s="13"/>
      <c r="J13" s="13"/>
      <c r="K13" s="13"/>
      <c r="L13" s="14"/>
      <c r="M13" s="13"/>
      <c r="N13" s="13"/>
      <c r="O13" s="13"/>
      <c r="P13" s="14"/>
      <c r="Q13" s="15">
        <f t="shared" si="0"/>
        <v>13</v>
      </c>
    </row>
    <row r="14" spans="1:17" x14ac:dyDescent="0.25">
      <c r="A14" s="12">
        <v>9</v>
      </c>
      <c r="B14" s="12" t="s">
        <v>128</v>
      </c>
      <c r="C14" s="12" t="s">
        <v>6</v>
      </c>
      <c r="D14" s="13">
        <v>15.4</v>
      </c>
      <c r="E14" s="13">
        <v>15.4</v>
      </c>
      <c r="F14" s="13">
        <v>15.7</v>
      </c>
      <c r="G14" s="13">
        <f>SUM(D14:F14)</f>
        <v>46.5</v>
      </c>
      <c r="H14" s="14">
        <v>3</v>
      </c>
      <c r="I14" s="13">
        <v>17</v>
      </c>
      <c r="J14" s="13">
        <v>19.100000000000001</v>
      </c>
      <c r="K14" s="13">
        <f>SUM(I14:J14)</f>
        <v>36.1</v>
      </c>
      <c r="L14" s="14">
        <v>3</v>
      </c>
      <c r="M14" s="13">
        <f>2.5+2+2.1+3.3+3.1+3.1</f>
        <v>16.099999999999998</v>
      </c>
      <c r="N14" s="13">
        <f>2.5+2.5+2.5+3.5+3.5+3.5</f>
        <v>18</v>
      </c>
      <c r="O14" s="13">
        <f>M14+N14</f>
        <v>34.099999999999994</v>
      </c>
      <c r="P14" s="14">
        <v>3</v>
      </c>
      <c r="Q14" s="15">
        <f t="shared" si="0"/>
        <v>9</v>
      </c>
    </row>
    <row r="15" spans="1:17" x14ac:dyDescent="0.25">
      <c r="A15" s="12">
        <v>10</v>
      </c>
      <c r="B15" s="16" t="s">
        <v>389</v>
      </c>
      <c r="C15" s="12" t="s">
        <v>311</v>
      </c>
      <c r="D15" s="13"/>
      <c r="E15" s="13"/>
      <c r="F15" s="13"/>
      <c r="G15" s="13"/>
      <c r="H15" s="14"/>
      <c r="I15" s="13">
        <f>2.5+2.4+2.4+3.3+3.3+3.3</f>
        <v>17.200000000000003</v>
      </c>
      <c r="J15" s="13">
        <f>2.4+2.4+2.3+3.9+4+3.8</f>
        <v>18.8</v>
      </c>
      <c r="K15" s="13">
        <f>SUM(I15:J15)</f>
        <v>36</v>
      </c>
      <c r="L15" s="14">
        <v>3</v>
      </c>
      <c r="M15" s="13">
        <f>2.4+2.2+2.2+3.3+3.1+3.2</f>
        <v>16.399999999999999</v>
      </c>
      <c r="N15" s="13">
        <f>2.4+2.4+2.5+3.4+3.4+3.5</f>
        <v>17.600000000000001</v>
      </c>
      <c r="O15" s="13">
        <f>M15+N15</f>
        <v>34</v>
      </c>
      <c r="P15" s="14">
        <v>3</v>
      </c>
      <c r="Q15" s="15">
        <f t="shared" si="0"/>
        <v>6</v>
      </c>
    </row>
    <row r="16" spans="1:17" ht="18.75" customHeight="1" x14ac:dyDescent="0.25">
      <c r="A16" s="12">
        <v>11</v>
      </c>
      <c r="B16" s="12" t="s">
        <v>129</v>
      </c>
      <c r="C16" s="12" t="s">
        <v>120</v>
      </c>
      <c r="D16" s="13">
        <v>16.100000000000001</v>
      </c>
      <c r="E16" s="13">
        <v>16.2</v>
      </c>
      <c r="F16" s="13">
        <v>14.4</v>
      </c>
      <c r="G16" s="13">
        <f>SUM(D16:F16)</f>
        <v>46.699999999999996</v>
      </c>
      <c r="H16" s="14">
        <v>3</v>
      </c>
      <c r="I16" s="13"/>
      <c r="J16" s="13"/>
      <c r="K16" s="13"/>
      <c r="L16" s="14"/>
      <c r="M16" s="13">
        <f>2.5+2.1+2.2+3.3+3.1+3.1</f>
        <v>16.3</v>
      </c>
      <c r="N16" s="13">
        <f>2.3+2.4+2.5+3.4+3.4+3.4</f>
        <v>17.399999999999999</v>
      </c>
      <c r="O16" s="13">
        <f>M16+N16</f>
        <v>33.700000000000003</v>
      </c>
      <c r="P16" s="14">
        <v>3</v>
      </c>
      <c r="Q16" s="15">
        <f t="shared" si="0"/>
        <v>6</v>
      </c>
    </row>
    <row r="17" spans="1:17" x14ac:dyDescent="0.25">
      <c r="A17" s="12">
        <v>12</v>
      </c>
      <c r="B17" s="16" t="s">
        <v>675</v>
      </c>
      <c r="C17" s="12" t="s">
        <v>26</v>
      </c>
      <c r="D17" s="13"/>
      <c r="E17" s="13"/>
      <c r="F17" s="13"/>
      <c r="G17" s="13"/>
      <c r="H17" s="14"/>
      <c r="I17" s="13"/>
      <c r="J17" s="13"/>
      <c r="K17" s="13"/>
      <c r="L17" s="14"/>
      <c r="M17" s="13">
        <f>2.4+2.2+2.3+3.3+3.2+3.3</f>
        <v>16.7</v>
      </c>
      <c r="N17" s="13">
        <f>2.3+2.5+2.3+3.3+3.3+3.3</f>
        <v>17</v>
      </c>
      <c r="O17" s="13">
        <f>M17+N17</f>
        <v>33.700000000000003</v>
      </c>
      <c r="P17" s="14">
        <v>3</v>
      </c>
      <c r="Q17" s="15">
        <f t="shared" si="0"/>
        <v>3</v>
      </c>
    </row>
    <row r="26" spans="1:17" x14ac:dyDescent="0.25">
      <c r="K26" s="4">
        <f t="shared" ref="K26:K35" si="2">SUM(I26:J26)</f>
        <v>0</v>
      </c>
    </row>
    <row r="27" spans="1:17" x14ac:dyDescent="0.25">
      <c r="K27" s="4">
        <f t="shared" si="2"/>
        <v>0</v>
      </c>
    </row>
    <row r="28" spans="1:17" x14ac:dyDescent="0.25">
      <c r="K28" s="4">
        <f t="shared" si="2"/>
        <v>0</v>
      </c>
    </row>
    <row r="29" spans="1:17" x14ac:dyDescent="0.25">
      <c r="K29" s="4">
        <f t="shared" si="2"/>
        <v>0</v>
      </c>
    </row>
    <row r="30" spans="1:17" x14ac:dyDescent="0.25">
      <c r="K30" s="4">
        <f t="shared" si="2"/>
        <v>0</v>
      </c>
    </row>
    <row r="31" spans="1:17" x14ac:dyDescent="0.25">
      <c r="K31" s="4">
        <f t="shared" si="2"/>
        <v>0</v>
      </c>
    </row>
    <row r="32" spans="1:17" x14ac:dyDescent="0.25">
      <c r="K32" s="4">
        <f t="shared" si="2"/>
        <v>0</v>
      </c>
    </row>
    <row r="33" spans="11:11" x14ac:dyDescent="0.25">
      <c r="K33" s="4">
        <f t="shared" si="2"/>
        <v>0</v>
      </c>
    </row>
    <row r="34" spans="11:11" x14ac:dyDescent="0.25">
      <c r="K34" s="4">
        <f t="shared" si="2"/>
        <v>0</v>
      </c>
    </row>
    <row r="35" spans="11:11" x14ac:dyDescent="0.25">
      <c r="K35" s="4">
        <f t="shared" si="2"/>
        <v>0</v>
      </c>
    </row>
  </sheetData>
  <sortState ref="B4:Q15">
    <sortCondition descending="1" ref="Q4:Q15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8.85546875" customWidth="1"/>
    <col min="4" max="6" width="7.42578125" bestFit="1" customWidth="1"/>
    <col min="8" max="8" width="20.140625" customWidth="1"/>
    <col min="9" max="9" width="8" customWidth="1"/>
    <col min="10" max="10" width="7.7109375" customWidth="1"/>
    <col min="12" max="12" width="19.42578125" customWidth="1"/>
    <col min="13" max="13" width="7.85546875" customWidth="1"/>
    <col min="14" max="14" width="7.140625" customWidth="1"/>
    <col min="16" max="16" width="18.85546875" customWidth="1"/>
    <col min="17" max="17" width="23.855468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"/>
    </row>
    <row r="2" spans="1:17" x14ac:dyDescent="0.25">
      <c r="A2" s="39"/>
      <c r="B2" s="39"/>
      <c r="C2" s="39"/>
      <c r="D2" s="39"/>
      <c r="E2" s="39"/>
      <c r="F2" s="39"/>
      <c r="G2" s="39"/>
      <c r="H2" s="1"/>
    </row>
    <row r="3" spans="1:17" ht="15.75" x14ac:dyDescent="0.25">
      <c r="B3" s="43" t="s">
        <v>175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733</v>
      </c>
      <c r="C6" s="28" t="s">
        <v>9</v>
      </c>
      <c r="D6" s="29">
        <v>17.399999999999999</v>
      </c>
      <c r="E6" s="29">
        <v>17.600000000000001</v>
      </c>
      <c r="F6" s="29">
        <v>16.399999999999999</v>
      </c>
      <c r="G6" s="29">
        <f>SUM(D6:F6)</f>
        <v>51.4</v>
      </c>
      <c r="H6" s="31">
        <v>13</v>
      </c>
      <c r="I6" s="29">
        <f>2.6+2.6+2.6+3.3+3.4+3.4</f>
        <v>17.900000000000002</v>
      </c>
      <c r="J6" s="29">
        <f>3+2.8+2.9+4.4+4.9+4.6</f>
        <v>22.6</v>
      </c>
      <c r="K6" s="29">
        <f>SUM(I6:J6)</f>
        <v>40.5</v>
      </c>
      <c r="L6" s="31">
        <v>23</v>
      </c>
      <c r="M6" s="29">
        <f>2.6+2.6+2.6+3.6+3.7+3.7</f>
        <v>18.8</v>
      </c>
      <c r="N6" s="29">
        <f>2.6+2.6+2.7+3.6+3.6+3.7</f>
        <v>18.8</v>
      </c>
      <c r="O6" s="29">
        <f t="shared" ref="O6:O21" si="0">M6+N6</f>
        <v>37.6</v>
      </c>
      <c r="P6" s="31">
        <v>23</v>
      </c>
      <c r="Q6" s="32">
        <f t="shared" ref="Q6:Q25" si="1">H6+L6+P6</f>
        <v>59</v>
      </c>
    </row>
    <row r="7" spans="1:17" x14ac:dyDescent="0.25">
      <c r="A7" s="28">
        <v>2</v>
      </c>
      <c r="B7" s="28" t="s">
        <v>124</v>
      </c>
      <c r="C7" s="28" t="s">
        <v>91</v>
      </c>
      <c r="D7" s="29">
        <v>18.3</v>
      </c>
      <c r="E7" s="29">
        <v>18.899999999999999</v>
      </c>
      <c r="F7" s="29">
        <v>16</v>
      </c>
      <c r="G7" s="29">
        <f>SUM(D7:F7)</f>
        <v>53.2</v>
      </c>
      <c r="H7" s="31">
        <v>23</v>
      </c>
      <c r="I7" s="29">
        <f>2.6+2.6+2.6+3.5+3.5+3.6</f>
        <v>18.400000000000002</v>
      </c>
      <c r="J7" s="29">
        <f>2.7+2.9+2.8+4.2+4.9+4.5</f>
        <v>22</v>
      </c>
      <c r="K7" s="29">
        <f>SUM(I7:J7)</f>
        <v>40.400000000000006</v>
      </c>
      <c r="L7" s="31">
        <v>18</v>
      </c>
      <c r="M7" s="29">
        <f>2.7+2.4+2.4+3.8+3.4+3.4</f>
        <v>18.100000000000001</v>
      </c>
      <c r="N7" s="29">
        <f>2.6+2.6+2.6+3.6+3.6+3.6</f>
        <v>18.600000000000001</v>
      </c>
      <c r="O7" s="29">
        <f t="shared" si="0"/>
        <v>36.700000000000003</v>
      </c>
      <c r="P7" s="31">
        <v>18</v>
      </c>
      <c r="Q7" s="32">
        <f t="shared" si="1"/>
        <v>59</v>
      </c>
    </row>
    <row r="8" spans="1:17" x14ac:dyDescent="0.25">
      <c r="A8" s="28">
        <v>3</v>
      </c>
      <c r="B8" s="28" t="s">
        <v>734</v>
      </c>
      <c r="C8" s="28" t="s">
        <v>9</v>
      </c>
      <c r="D8" s="29">
        <v>17.899999999999999</v>
      </c>
      <c r="E8" s="29">
        <v>18</v>
      </c>
      <c r="F8" s="29">
        <v>15.9</v>
      </c>
      <c r="G8" s="29">
        <f>SUM(D8:F8)</f>
        <v>51.8</v>
      </c>
      <c r="H8" s="31">
        <v>18</v>
      </c>
      <c r="I8" s="29">
        <f>2.6+2.5+2.6+3.2+3.3+3.4</f>
        <v>17.599999999999998</v>
      </c>
      <c r="J8" s="29">
        <f>2.9+2.6+2.8+4.4+4.3+4.3</f>
        <v>21.3</v>
      </c>
      <c r="K8" s="29">
        <f>SUM(I8:J8)</f>
        <v>38.9</v>
      </c>
      <c r="L8" s="31">
        <v>13</v>
      </c>
      <c r="M8" s="29">
        <f>2.6+2.5+2.5+3.7+3.4+3.5</f>
        <v>18.200000000000003</v>
      </c>
      <c r="N8" s="29">
        <f>2.5+2.5+2.6+3.6+3.5+3.6</f>
        <v>18.3</v>
      </c>
      <c r="O8" s="29">
        <f t="shared" si="0"/>
        <v>36.5</v>
      </c>
      <c r="P8" s="31">
        <v>13</v>
      </c>
      <c r="Q8" s="32">
        <f t="shared" si="1"/>
        <v>44</v>
      </c>
    </row>
    <row r="9" spans="1:17" x14ac:dyDescent="0.25">
      <c r="A9" s="28">
        <v>4</v>
      </c>
      <c r="B9" s="28" t="s">
        <v>127</v>
      </c>
      <c r="C9" s="28" t="s">
        <v>6</v>
      </c>
      <c r="D9" s="29">
        <v>16.3</v>
      </c>
      <c r="E9" s="29">
        <v>17.2</v>
      </c>
      <c r="F9" s="29">
        <v>15.1</v>
      </c>
      <c r="G9" s="29">
        <f>SUM(D9:F9)</f>
        <v>48.6</v>
      </c>
      <c r="H9" s="31">
        <v>13</v>
      </c>
      <c r="I9" s="29">
        <f>2.5+2.5+2.5+3.3+3.4+3.5</f>
        <v>17.700000000000003</v>
      </c>
      <c r="J9" s="29">
        <f>2.4+2.4+2.5+4.3+4+4.3</f>
        <v>19.899999999999999</v>
      </c>
      <c r="K9" s="29">
        <f>SUM(I9:J9)</f>
        <v>37.6</v>
      </c>
      <c r="L9" s="31">
        <v>3</v>
      </c>
      <c r="M9" s="29">
        <f>2.4+2.5+2.4+3.4+3.4+3.3</f>
        <v>17.400000000000002</v>
      </c>
      <c r="N9" s="29">
        <f>2.5+2.6+2.4+3.6+3.6+3.6</f>
        <v>18.3</v>
      </c>
      <c r="O9" s="29">
        <f t="shared" si="0"/>
        <v>35.700000000000003</v>
      </c>
      <c r="P9" s="31">
        <v>3</v>
      </c>
      <c r="Q9" s="32">
        <f t="shared" si="1"/>
        <v>19</v>
      </c>
    </row>
    <row r="10" spans="1:17" x14ac:dyDescent="0.25">
      <c r="A10" s="28">
        <v>5</v>
      </c>
      <c r="B10" s="28" t="s">
        <v>126</v>
      </c>
      <c r="C10" s="28" t="s">
        <v>6</v>
      </c>
      <c r="D10" s="29">
        <v>15.7</v>
      </c>
      <c r="E10" s="29">
        <v>17.399999999999999</v>
      </c>
      <c r="F10" s="29">
        <v>13</v>
      </c>
      <c r="G10" s="29">
        <f>SUM(D10:F10)</f>
        <v>46.099999999999994</v>
      </c>
      <c r="H10" s="31">
        <v>3</v>
      </c>
      <c r="I10" s="29">
        <f>2.5+2.5+2.5+3.3+3.4+3.4</f>
        <v>17.600000000000001</v>
      </c>
      <c r="J10" s="29">
        <f>2.6+2.6+2.6+4.6+4.9+4.6</f>
        <v>21.9</v>
      </c>
      <c r="K10" s="29">
        <f>SUM(I10:J10)</f>
        <v>39.5</v>
      </c>
      <c r="L10" s="31">
        <v>13</v>
      </c>
      <c r="M10" s="29">
        <f>2.4+2.3+2.2+3.3+3.4+3.2</f>
        <v>16.8</v>
      </c>
      <c r="N10" s="29">
        <f>2.4+2.5+2.5+3.5+3.5+3.4</f>
        <v>17.8</v>
      </c>
      <c r="O10" s="29">
        <f t="shared" si="0"/>
        <v>34.6</v>
      </c>
      <c r="P10" s="31">
        <v>3</v>
      </c>
      <c r="Q10" s="32">
        <f t="shared" si="1"/>
        <v>19</v>
      </c>
    </row>
    <row r="11" spans="1:17" x14ac:dyDescent="0.25">
      <c r="A11" s="28">
        <v>6</v>
      </c>
      <c r="B11" s="28" t="s">
        <v>739</v>
      </c>
      <c r="C11" s="28" t="s">
        <v>704</v>
      </c>
      <c r="D11" s="29"/>
      <c r="E11" s="29"/>
      <c r="F11" s="29"/>
      <c r="G11" s="29"/>
      <c r="H11" s="31"/>
      <c r="I11" s="29"/>
      <c r="J11" s="29"/>
      <c r="K11" s="29"/>
      <c r="L11" s="31"/>
      <c r="M11" s="29">
        <f>2.5+2.4+2.3+3.6+3.4+3.3</f>
        <v>17.5</v>
      </c>
      <c r="N11" s="29">
        <f>2.6+2.5+2.6+3.7+3.5+3.7</f>
        <v>18.599999999999998</v>
      </c>
      <c r="O11" s="29">
        <f t="shared" si="0"/>
        <v>36.099999999999994</v>
      </c>
      <c r="P11" s="31">
        <v>13</v>
      </c>
      <c r="Q11" s="32">
        <f t="shared" si="1"/>
        <v>13</v>
      </c>
    </row>
    <row r="12" spans="1:17" x14ac:dyDescent="0.25">
      <c r="A12" s="28">
        <v>7</v>
      </c>
      <c r="B12" s="28" t="s">
        <v>122</v>
      </c>
      <c r="C12" s="28" t="s">
        <v>6</v>
      </c>
      <c r="D12" s="29">
        <v>16.399999999999999</v>
      </c>
      <c r="E12" s="29">
        <v>16.7</v>
      </c>
      <c r="F12" s="29">
        <v>14.9</v>
      </c>
      <c r="G12" s="29">
        <f>SUM(D12:F12)</f>
        <v>47.999999999999993</v>
      </c>
      <c r="H12" s="31">
        <v>3</v>
      </c>
      <c r="I12" s="29">
        <f>2.6+2.6+2.6+3.3+3.5+3.2</f>
        <v>17.8</v>
      </c>
      <c r="J12" s="29">
        <f>2.6+2.6+2.5+4.1+4.5+4.4</f>
        <v>20.700000000000003</v>
      </c>
      <c r="K12" s="29">
        <f>SUM(I12:J12)</f>
        <v>38.5</v>
      </c>
      <c r="L12" s="31">
        <v>3</v>
      </c>
      <c r="M12" s="29">
        <f>2.4+2.2+2.2+3.6+3.3+3.2</f>
        <v>16.899999999999999</v>
      </c>
      <c r="N12" s="29">
        <f>2.4+2.4+2.3+3.4+3.4+3.4</f>
        <v>17.3</v>
      </c>
      <c r="O12" s="29">
        <f t="shared" si="0"/>
        <v>34.200000000000003</v>
      </c>
      <c r="P12" s="31">
        <v>3</v>
      </c>
      <c r="Q12" s="32">
        <f t="shared" si="1"/>
        <v>9</v>
      </c>
    </row>
    <row r="13" spans="1:17" x14ac:dyDescent="0.25">
      <c r="A13" s="28">
        <v>8</v>
      </c>
      <c r="B13" s="28" t="s">
        <v>738</v>
      </c>
      <c r="C13" s="28" t="s">
        <v>6</v>
      </c>
      <c r="D13" s="29">
        <v>15.4</v>
      </c>
      <c r="E13" s="29">
        <v>16.5</v>
      </c>
      <c r="F13" s="29">
        <v>14.3</v>
      </c>
      <c r="G13" s="29">
        <f>SUM(D13:F13)</f>
        <v>46.2</v>
      </c>
      <c r="H13" s="31">
        <v>3</v>
      </c>
      <c r="I13" s="29">
        <f>2.4+2.5+2.4+3.1+3.1+3.1</f>
        <v>16.600000000000001</v>
      </c>
      <c r="J13" s="29">
        <f>2.3+2.2+2.6+4.2+4.3+4.1</f>
        <v>19.700000000000003</v>
      </c>
      <c r="K13" s="29">
        <f>SUM(I13:J13)</f>
        <v>36.300000000000004</v>
      </c>
      <c r="L13" s="31">
        <v>3</v>
      </c>
      <c r="M13" s="29">
        <f>2.1+2.1+2.1+3.2+3.1+3.1</f>
        <v>15.7</v>
      </c>
      <c r="N13" s="29">
        <f>2.3+2.4+2.3+3.4+3.4+3.4</f>
        <v>17.2</v>
      </c>
      <c r="O13" s="29">
        <f t="shared" si="0"/>
        <v>32.9</v>
      </c>
      <c r="P13" s="31">
        <v>3</v>
      </c>
      <c r="Q13" s="32">
        <f t="shared" si="1"/>
        <v>9</v>
      </c>
    </row>
    <row r="14" spans="1:17" x14ac:dyDescent="0.25">
      <c r="A14" s="28">
        <v>9</v>
      </c>
      <c r="B14" s="28" t="s">
        <v>125</v>
      </c>
      <c r="C14" s="28" t="s">
        <v>120</v>
      </c>
      <c r="D14" s="29">
        <v>16.7</v>
      </c>
      <c r="E14" s="29">
        <v>17.3</v>
      </c>
      <c r="F14" s="29">
        <v>13.5</v>
      </c>
      <c r="G14" s="29">
        <f>SUM(D14:F14)</f>
        <v>47.5</v>
      </c>
      <c r="H14" s="31">
        <v>3</v>
      </c>
      <c r="I14" s="29"/>
      <c r="J14" s="29"/>
      <c r="K14" s="29"/>
      <c r="L14" s="31"/>
      <c r="M14" s="29">
        <f>2.4+2.4+2.4+3.4+3.4+3.3</f>
        <v>17.3</v>
      </c>
      <c r="N14" s="29">
        <f>2.5+2.4+2.5+3.5+3.4+3.5</f>
        <v>17.8</v>
      </c>
      <c r="O14" s="29">
        <f t="shared" si="0"/>
        <v>35.1</v>
      </c>
      <c r="P14" s="31">
        <v>3</v>
      </c>
      <c r="Q14" s="32">
        <f t="shared" si="1"/>
        <v>6</v>
      </c>
    </row>
    <row r="15" spans="1:17" x14ac:dyDescent="0.25">
      <c r="A15" s="28">
        <v>10</v>
      </c>
      <c r="B15" s="28" t="s">
        <v>599</v>
      </c>
      <c r="C15" s="28" t="s">
        <v>9</v>
      </c>
      <c r="D15" s="29"/>
      <c r="E15" s="29"/>
      <c r="F15" s="29"/>
      <c r="G15" s="29"/>
      <c r="H15" s="31"/>
      <c r="I15" s="29">
        <f>2.5+2.5+2.5+3.2+3.2+3.2</f>
        <v>17.099999999999998</v>
      </c>
      <c r="J15" s="29">
        <f>2.7+2.7+2.6+4.4+4.5+4.1</f>
        <v>21</v>
      </c>
      <c r="K15" s="29">
        <f>SUM(I15:J15)</f>
        <v>38.099999999999994</v>
      </c>
      <c r="L15" s="31">
        <v>3</v>
      </c>
      <c r="M15" s="29">
        <f>2.3+2.3+2.3+3.3+3.3+3.3</f>
        <v>16.8</v>
      </c>
      <c r="N15" s="29">
        <f>2.5+2.5+2.5+3.4+3.5+3.5</f>
        <v>17.899999999999999</v>
      </c>
      <c r="O15" s="29">
        <f t="shared" si="0"/>
        <v>34.700000000000003</v>
      </c>
      <c r="P15" s="31">
        <v>3</v>
      </c>
      <c r="Q15" s="32">
        <f t="shared" si="1"/>
        <v>6</v>
      </c>
    </row>
    <row r="16" spans="1:17" x14ac:dyDescent="0.25">
      <c r="A16" s="28">
        <v>11</v>
      </c>
      <c r="B16" s="28" t="s">
        <v>737</v>
      </c>
      <c r="C16" s="28" t="s">
        <v>6</v>
      </c>
      <c r="D16" s="29"/>
      <c r="E16" s="29"/>
      <c r="F16" s="29"/>
      <c r="G16" s="29"/>
      <c r="H16" s="31"/>
      <c r="I16" s="29">
        <f>2.5+2.5+2.5+3.2+3.2+3.3</f>
        <v>17.2</v>
      </c>
      <c r="J16" s="29">
        <f>2.5+2.4+2.6+4.1+4.3+4.1</f>
        <v>20</v>
      </c>
      <c r="K16" s="29">
        <f>SUM(I16:J16)</f>
        <v>37.200000000000003</v>
      </c>
      <c r="L16" s="31">
        <v>3</v>
      </c>
      <c r="M16" s="29">
        <f>2.3+2.1+2.4+3.2+3.1+3.4</f>
        <v>16.5</v>
      </c>
      <c r="N16" s="29">
        <f>2.3+2.5+2.5+3.4+3.5+3.5</f>
        <v>17.7</v>
      </c>
      <c r="O16" s="29">
        <f t="shared" si="0"/>
        <v>34.200000000000003</v>
      </c>
      <c r="P16" s="31">
        <v>3</v>
      </c>
      <c r="Q16" s="32">
        <f t="shared" si="1"/>
        <v>6</v>
      </c>
    </row>
    <row r="17" spans="1:17" x14ac:dyDescent="0.25">
      <c r="A17" s="28">
        <v>12</v>
      </c>
      <c r="B17" s="28" t="s">
        <v>598</v>
      </c>
      <c r="C17" s="28" t="s">
        <v>6</v>
      </c>
      <c r="D17" s="29"/>
      <c r="E17" s="29"/>
      <c r="F17" s="29"/>
      <c r="G17" s="29"/>
      <c r="H17" s="31"/>
      <c r="I17" s="29">
        <f>2.5+2.5+2.5+3.2+3.2+3.1</f>
        <v>17</v>
      </c>
      <c r="J17" s="29">
        <f>2.3+2.2+2.4+4.2+4+4.2</f>
        <v>19.3</v>
      </c>
      <c r="K17" s="29">
        <f>SUM(I17:J17)</f>
        <v>36.299999999999997</v>
      </c>
      <c r="L17" s="31">
        <v>3</v>
      </c>
      <c r="M17" s="29">
        <f>2.3+2.3+2.3+3.3+3.2+3.3</f>
        <v>16.7</v>
      </c>
      <c r="N17" s="29">
        <f>2.2+2.3+2.2+3.2+3.2+3.2</f>
        <v>16.3</v>
      </c>
      <c r="O17" s="29">
        <f t="shared" si="0"/>
        <v>33</v>
      </c>
      <c r="P17" s="31">
        <v>3</v>
      </c>
      <c r="Q17" s="32">
        <f t="shared" si="1"/>
        <v>6</v>
      </c>
    </row>
    <row r="18" spans="1:17" x14ac:dyDescent="0.25">
      <c r="A18" s="28">
        <v>13</v>
      </c>
      <c r="B18" s="28" t="s">
        <v>736</v>
      </c>
      <c r="C18" s="28" t="s">
        <v>15</v>
      </c>
      <c r="D18" s="29"/>
      <c r="E18" s="29"/>
      <c r="F18" s="29"/>
      <c r="G18" s="29"/>
      <c r="H18" s="31"/>
      <c r="I18" s="29"/>
      <c r="J18" s="29"/>
      <c r="K18" s="29"/>
      <c r="L18" s="31"/>
      <c r="M18" s="29">
        <f>2.5+2.3+2.2+3.7+3.3+3.3</f>
        <v>17.3</v>
      </c>
      <c r="N18" s="29">
        <f>2.5+2.6+2.6+3.5+3.6+3.7</f>
        <v>18.5</v>
      </c>
      <c r="O18" s="29">
        <f t="shared" si="0"/>
        <v>35.799999999999997</v>
      </c>
      <c r="P18" s="31">
        <v>3</v>
      </c>
      <c r="Q18" s="32">
        <f t="shared" si="1"/>
        <v>3</v>
      </c>
    </row>
    <row r="19" spans="1:17" x14ac:dyDescent="0.25">
      <c r="A19" s="28">
        <v>14</v>
      </c>
      <c r="B19" s="28" t="s">
        <v>732</v>
      </c>
      <c r="C19" s="28" t="s">
        <v>9</v>
      </c>
      <c r="D19" s="29"/>
      <c r="E19" s="29"/>
      <c r="F19" s="29"/>
      <c r="G19" s="29"/>
      <c r="H19" s="31"/>
      <c r="I19" s="29"/>
      <c r="J19" s="29"/>
      <c r="K19" s="29"/>
      <c r="L19" s="31"/>
      <c r="M19" s="29">
        <f>2.4+2.4+2.4+3.2+3.3+3.3</f>
        <v>17</v>
      </c>
      <c r="N19" s="29">
        <f>2.5+2.5+2.7+3.5+3.5+3.7</f>
        <v>18.399999999999999</v>
      </c>
      <c r="O19" s="29">
        <f t="shared" si="0"/>
        <v>35.4</v>
      </c>
      <c r="P19" s="31">
        <v>3</v>
      </c>
      <c r="Q19" s="32">
        <f t="shared" si="1"/>
        <v>3</v>
      </c>
    </row>
    <row r="20" spans="1:17" x14ac:dyDescent="0.25">
      <c r="A20" s="28">
        <v>15</v>
      </c>
      <c r="B20" s="28" t="s">
        <v>740</v>
      </c>
      <c r="C20" s="28" t="s">
        <v>704</v>
      </c>
      <c r="D20" s="29"/>
      <c r="E20" s="29"/>
      <c r="F20" s="29"/>
      <c r="G20" s="29"/>
      <c r="H20" s="31"/>
      <c r="I20" s="29"/>
      <c r="J20" s="29"/>
      <c r="K20" s="29"/>
      <c r="L20" s="31"/>
      <c r="M20" s="29">
        <f>2.4+2.4+2.4+3.3+3.5+3.5</f>
        <v>17.5</v>
      </c>
      <c r="N20" s="29">
        <f>2.5+2.4+2.5+3.5+3.4+3.5</f>
        <v>17.8</v>
      </c>
      <c r="O20" s="29">
        <f t="shared" si="0"/>
        <v>35.299999999999997</v>
      </c>
      <c r="P20" s="31">
        <v>3</v>
      </c>
      <c r="Q20" s="32">
        <f t="shared" si="1"/>
        <v>3</v>
      </c>
    </row>
    <row r="21" spans="1:17" x14ac:dyDescent="0.25">
      <c r="A21" s="28">
        <v>16</v>
      </c>
      <c r="B21" s="28" t="s">
        <v>735</v>
      </c>
      <c r="C21" s="28" t="s">
        <v>120</v>
      </c>
      <c r="D21" s="29"/>
      <c r="E21" s="29"/>
      <c r="F21" s="29"/>
      <c r="G21" s="29"/>
      <c r="H21" s="31"/>
      <c r="I21" s="29"/>
      <c r="J21" s="29"/>
      <c r="K21" s="29"/>
      <c r="L21" s="31"/>
      <c r="M21" s="29">
        <f>2.3+2.3+2.3+3.2+3.2+3.3</f>
        <v>16.600000000000001</v>
      </c>
      <c r="N21" s="29">
        <f>2.4+2.5+2.4+3.6+3.4+3.5</f>
        <v>17.8</v>
      </c>
      <c r="O21" s="29">
        <f t="shared" si="0"/>
        <v>34.400000000000006</v>
      </c>
      <c r="P21" s="31">
        <v>3</v>
      </c>
      <c r="Q21" s="32">
        <f t="shared" si="1"/>
        <v>3</v>
      </c>
    </row>
    <row r="22" spans="1:17" x14ac:dyDescent="0.25">
      <c r="A22" s="28">
        <v>17</v>
      </c>
      <c r="B22" s="28" t="s">
        <v>600</v>
      </c>
      <c r="C22" s="28" t="s">
        <v>9</v>
      </c>
      <c r="D22" s="29"/>
      <c r="E22" s="29"/>
      <c r="F22" s="29"/>
      <c r="G22" s="29"/>
      <c r="H22" s="31"/>
      <c r="I22" s="29">
        <f>2.5+2.5+2.5+3.1+3.1+3.1</f>
        <v>16.8</v>
      </c>
      <c r="J22" s="29">
        <f>2.6+2.6+2.6+4.2+4.2+4</f>
        <v>20.2</v>
      </c>
      <c r="K22" s="29">
        <f>SUM(I22:J22)</f>
        <v>37</v>
      </c>
      <c r="L22" s="31">
        <v>3</v>
      </c>
      <c r="M22" s="29"/>
      <c r="N22" s="29"/>
      <c r="O22" s="29"/>
      <c r="P22" s="31"/>
      <c r="Q22" s="32">
        <f t="shared" si="1"/>
        <v>3</v>
      </c>
    </row>
    <row r="23" spans="1:17" x14ac:dyDescent="0.25">
      <c r="A23" s="28">
        <v>18</v>
      </c>
      <c r="B23" s="28" t="s">
        <v>602</v>
      </c>
      <c r="C23" s="28" t="s">
        <v>67</v>
      </c>
      <c r="D23" s="29"/>
      <c r="E23" s="29"/>
      <c r="F23" s="29"/>
      <c r="G23" s="29"/>
      <c r="H23" s="31"/>
      <c r="I23" s="29">
        <f>2.5+2.5+2.5+3.1+3.1+3.1</f>
        <v>16.8</v>
      </c>
      <c r="J23" s="29">
        <f>2.4+2.5+2.5+3.8+4.2+4</f>
        <v>19.399999999999999</v>
      </c>
      <c r="K23" s="29">
        <f>SUM(I23:J23)</f>
        <v>36.200000000000003</v>
      </c>
      <c r="L23" s="31">
        <v>3</v>
      </c>
      <c r="M23" s="29"/>
      <c r="N23" s="29"/>
      <c r="O23" s="29"/>
      <c r="P23" s="31"/>
      <c r="Q23" s="32">
        <f t="shared" si="1"/>
        <v>3</v>
      </c>
    </row>
    <row r="24" spans="1:17" x14ac:dyDescent="0.25">
      <c r="A24" s="28">
        <v>19</v>
      </c>
      <c r="B24" s="28" t="s">
        <v>123</v>
      </c>
      <c r="C24" s="28" t="s">
        <v>12</v>
      </c>
      <c r="D24" s="29">
        <v>15</v>
      </c>
      <c r="E24" s="29">
        <v>16.899999999999999</v>
      </c>
      <c r="F24" s="29">
        <v>13.7</v>
      </c>
      <c r="G24" s="29">
        <f>SUM(D24:F24)</f>
        <v>45.599999999999994</v>
      </c>
      <c r="H24" s="31">
        <v>3</v>
      </c>
      <c r="I24" s="29"/>
      <c r="J24" s="29"/>
      <c r="K24" s="29"/>
      <c r="L24" s="31"/>
      <c r="M24" s="29"/>
      <c r="N24" s="29"/>
      <c r="O24" s="29"/>
      <c r="P24" s="31"/>
      <c r="Q24" s="32">
        <f t="shared" si="1"/>
        <v>3</v>
      </c>
    </row>
    <row r="25" spans="1:17" x14ac:dyDescent="0.25">
      <c r="A25" s="28">
        <v>20</v>
      </c>
      <c r="B25" s="28" t="s">
        <v>601</v>
      </c>
      <c r="C25" s="28" t="s">
        <v>9</v>
      </c>
      <c r="D25" s="29"/>
      <c r="E25" s="29"/>
      <c r="F25" s="29"/>
      <c r="G25" s="29"/>
      <c r="H25" s="31"/>
      <c r="I25" s="29"/>
      <c r="J25" s="29"/>
      <c r="K25" s="29"/>
      <c r="L25" s="31"/>
      <c r="M25" s="29"/>
      <c r="N25" s="29"/>
      <c r="O25" s="29"/>
      <c r="P25" s="31"/>
      <c r="Q25" s="32">
        <f t="shared" si="1"/>
        <v>0</v>
      </c>
    </row>
  </sheetData>
  <sortState ref="B4:Q23">
    <sortCondition descending="1" ref="Q4:Q23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8.85546875" customWidth="1"/>
    <col min="4" max="4" width="7" customWidth="1"/>
    <col min="5" max="5" width="6.5703125" customWidth="1"/>
    <col min="6" max="6" width="6.7109375" customWidth="1"/>
    <col min="8" max="8" width="19" customWidth="1"/>
    <col min="9" max="9" width="8.28515625" customWidth="1"/>
    <col min="10" max="10" width="8.7109375" customWidth="1"/>
    <col min="12" max="12" width="19.42578125" customWidth="1"/>
    <col min="13" max="13" width="8.7109375" customWidth="1"/>
    <col min="14" max="14" width="8.5703125" customWidth="1"/>
    <col min="16" max="16" width="19.5703125" customWidth="1"/>
    <col min="17" max="17" width="23.71093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182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31</v>
      </c>
      <c r="C6" s="28" t="s">
        <v>9</v>
      </c>
      <c r="D6" s="29">
        <v>19.2</v>
      </c>
      <c r="E6" s="29">
        <v>18.600000000000001</v>
      </c>
      <c r="F6" s="29">
        <v>18.100000000000001</v>
      </c>
      <c r="G6" s="29">
        <f>SUM(D6:F6)</f>
        <v>55.9</v>
      </c>
      <c r="H6" s="31">
        <v>18</v>
      </c>
      <c r="I6" s="29">
        <f>2.6+2.5+3.6+4.6+4.4+4</f>
        <v>21.7</v>
      </c>
      <c r="J6" s="29">
        <f>2.5+2.7+2.5+4.5+4.5+4.5</f>
        <v>21.2</v>
      </c>
      <c r="K6" s="29">
        <f>SUM(I6:J6)</f>
        <v>42.9</v>
      </c>
      <c r="L6" s="31">
        <v>18</v>
      </c>
      <c r="M6" s="29">
        <f>2.8+2.8+2.7+3.6+3.8+3.6</f>
        <v>19.3</v>
      </c>
      <c r="N6" s="29">
        <f>2.9+2.7+2.9+3.9+3.7+3.8</f>
        <v>19.900000000000002</v>
      </c>
      <c r="O6" s="29">
        <f t="shared" ref="O6:O13" si="0">M6+N6</f>
        <v>39.200000000000003</v>
      </c>
      <c r="P6" s="31">
        <v>13</v>
      </c>
      <c r="Q6" s="32">
        <f t="shared" ref="Q6:Q35" si="1">H6+L6+P6</f>
        <v>49</v>
      </c>
    </row>
    <row r="7" spans="1:17" x14ac:dyDescent="0.25">
      <c r="A7" s="28">
        <v>2</v>
      </c>
      <c r="B7" s="28" t="s">
        <v>609</v>
      </c>
      <c r="C7" s="28" t="s">
        <v>95</v>
      </c>
      <c r="D7" s="29"/>
      <c r="E7" s="29"/>
      <c r="F7" s="29"/>
      <c r="G7" s="29"/>
      <c r="H7" s="31"/>
      <c r="I7" s="29">
        <f>2.6+2.8+3.2+4.5+4.6+4.7</f>
        <v>22.400000000000002</v>
      </c>
      <c r="J7" s="29">
        <f>2.8+2.8+2.8+4.7+4.7+4.8</f>
        <v>22.599999999999998</v>
      </c>
      <c r="K7" s="29">
        <f>SUM(I7:J7)</f>
        <v>45</v>
      </c>
      <c r="L7" s="31">
        <v>23</v>
      </c>
      <c r="M7" s="29">
        <f>2.9+2.9+2.8+3.9+3.9+3.9</f>
        <v>20.299999999999997</v>
      </c>
      <c r="N7" s="29">
        <f>3.1+2.7+2.6+3.9+3.7+3.6</f>
        <v>19.600000000000001</v>
      </c>
      <c r="O7" s="29">
        <f t="shared" si="0"/>
        <v>39.9</v>
      </c>
      <c r="P7" s="31">
        <v>23</v>
      </c>
      <c r="Q7" s="32">
        <f t="shared" si="1"/>
        <v>46</v>
      </c>
    </row>
    <row r="8" spans="1:17" x14ac:dyDescent="0.25">
      <c r="A8" s="28">
        <v>3</v>
      </c>
      <c r="B8" s="34" t="s">
        <v>16</v>
      </c>
      <c r="C8" s="28" t="s">
        <v>5</v>
      </c>
      <c r="D8" s="29">
        <v>18.3</v>
      </c>
      <c r="E8" s="29">
        <v>20.6</v>
      </c>
      <c r="F8" s="29">
        <v>17.100000000000001</v>
      </c>
      <c r="G8" s="29">
        <f>SUM(D8:F8)</f>
        <v>56.000000000000007</v>
      </c>
      <c r="H8" s="31">
        <v>23</v>
      </c>
      <c r="I8" s="29"/>
      <c r="J8" s="29"/>
      <c r="K8" s="29"/>
      <c r="L8" s="31"/>
      <c r="M8" s="29">
        <f>2.7+2.7+2.6+3.9+3.8+3.7</f>
        <v>19.399999999999999</v>
      </c>
      <c r="N8" s="29">
        <f>3+2.7+2.5+3.9+3.7+3.5</f>
        <v>19.3</v>
      </c>
      <c r="O8" s="29">
        <f t="shared" si="0"/>
        <v>38.700000000000003</v>
      </c>
      <c r="P8" s="31">
        <v>3</v>
      </c>
      <c r="Q8" s="32">
        <f t="shared" si="1"/>
        <v>26</v>
      </c>
    </row>
    <row r="9" spans="1:17" x14ac:dyDescent="0.25">
      <c r="A9" s="28">
        <v>4</v>
      </c>
      <c r="B9" s="28" t="s">
        <v>23</v>
      </c>
      <c r="C9" s="28" t="s">
        <v>9</v>
      </c>
      <c r="D9" s="29">
        <v>18.5</v>
      </c>
      <c r="E9" s="29">
        <v>17.399999999999999</v>
      </c>
      <c r="F9" s="29">
        <v>16</v>
      </c>
      <c r="G9" s="29">
        <f>SUM(D9:F9)</f>
        <v>51.9</v>
      </c>
      <c r="H9" s="31">
        <v>3</v>
      </c>
      <c r="I9" s="29">
        <f>2.3+2.4+2.7+4.3+4.2+4.2</f>
        <v>20.099999999999998</v>
      </c>
      <c r="J9" s="29">
        <f>2.4+2.5+2.3+4.2+4.3+4.3</f>
        <v>20</v>
      </c>
      <c r="K9" s="29">
        <f>SUM(I9:J9)</f>
        <v>40.099999999999994</v>
      </c>
      <c r="L9" s="31">
        <v>3</v>
      </c>
      <c r="M9" s="29">
        <f>2.7+2.7+2.7+3.7+3.7+3.8</f>
        <v>19.3</v>
      </c>
      <c r="N9" s="29">
        <f>3.1+2.8+2.7+4.2+3.9+3.7</f>
        <v>20.399999999999999</v>
      </c>
      <c r="O9" s="29">
        <f t="shared" si="0"/>
        <v>39.700000000000003</v>
      </c>
      <c r="P9" s="31">
        <v>18</v>
      </c>
      <c r="Q9" s="32">
        <f t="shared" si="1"/>
        <v>24</v>
      </c>
    </row>
    <row r="10" spans="1:17" x14ac:dyDescent="0.25">
      <c r="A10" s="28">
        <v>5</v>
      </c>
      <c r="B10" s="28" t="s">
        <v>741</v>
      </c>
      <c r="C10" s="28" t="s">
        <v>6</v>
      </c>
      <c r="D10" s="29">
        <v>19.100000000000001</v>
      </c>
      <c r="E10" s="29">
        <v>15.9</v>
      </c>
      <c r="F10" s="29">
        <v>15.6</v>
      </c>
      <c r="G10" s="29">
        <f>SUM(D10:F10)</f>
        <v>50.6</v>
      </c>
      <c r="H10" s="31">
        <v>3</v>
      </c>
      <c r="I10" s="29">
        <f>2.6+2.5+2.6+4.6+4.2+4.2</f>
        <v>20.7</v>
      </c>
      <c r="J10" s="29">
        <f>2.6+2.5+2.5+4.5+4.4+4.4</f>
        <v>20.9</v>
      </c>
      <c r="K10" s="29">
        <f>SUM(I10:J10)</f>
        <v>41.599999999999994</v>
      </c>
      <c r="L10" s="31">
        <v>3</v>
      </c>
      <c r="M10" s="29">
        <f>2.8+2.8+2.7+3.9+3.6+3.5</f>
        <v>19.3</v>
      </c>
      <c r="N10" s="29">
        <f>2.7+2.8+2.8+3.7+3.8+3.7</f>
        <v>19.5</v>
      </c>
      <c r="O10" s="29">
        <f t="shared" si="0"/>
        <v>38.799999999999997</v>
      </c>
      <c r="P10" s="31">
        <v>13</v>
      </c>
      <c r="Q10" s="32">
        <f t="shared" si="1"/>
        <v>19</v>
      </c>
    </row>
    <row r="11" spans="1:17" x14ac:dyDescent="0.25">
      <c r="A11" s="28">
        <v>6</v>
      </c>
      <c r="B11" s="28" t="s">
        <v>30</v>
      </c>
      <c r="C11" s="28" t="s">
        <v>9</v>
      </c>
      <c r="D11" s="29">
        <v>19.3</v>
      </c>
      <c r="E11" s="29">
        <v>17.5</v>
      </c>
      <c r="F11" s="29">
        <v>17.100000000000001</v>
      </c>
      <c r="G11" s="29">
        <f>SUM(D11:F11)</f>
        <v>53.9</v>
      </c>
      <c r="H11" s="31">
        <v>13</v>
      </c>
      <c r="I11" s="29">
        <f>2.5+2.5+2.7+4.4+4.3+4.1</f>
        <v>20.5</v>
      </c>
      <c r="J11" s="29">
        <f>2.5+2.6+2.5+4.6+4.5+4.6</f>
        <v>21.299999999999997</v>
      </c>
      <c r="K11" s="29">
        <f>SUM(I11:J11)</f>
        <v>41.8</v>
      </c>
      <c r="L11" s="31">
        <v>3</v>
      </c>
      <c r="M11" s="29">
        <f>2.6+2.8+2.7+3.6+3.6+3.6</f>
        <v>18.900000000000002</v>
      </c>
      <c r="N11" s="29">
        <f>2.9+2.7+2.7+4.1+3.6+3.8</f>
        <v>19.8</v>
      </c>
      <c r="O11" s="29">
        <f t="shared" si="0"/>
        <v>38.700000000000003</v>
      </c>
      <c r="P11" s="31">
        <v>3</v>
      </c>
      <c r="Q11" s="32">
        <f t="shared" si="1"/>
        <v>19</v>
      </c>
    </row>
    <row r="12" spans="1:17" x14ac:dyDescent="0.25">
      <c r="A12" s="28">
        <v>7</v>
      </c>
      <c r="B12" s="28" t="s">
        <v>14</v>
      </c>
      <c r="C12" s="28" t="s">
        <v>15</v>
      </c>
      <c r="D12" s="29">
        <v>19</v>
      </c>
      <c r="E12" s="29">
        <v>18.8</v>
      </c>
      <c r="F12" s="29">
        <v>15.1</v>
      </c>
      <c r="G12" s="29">
        <f>SUM(D12:F12)</f>
        <v>52.9</v>
      </c>
      <c r="H12" s="31">
        <v>3</v>
      </c>
      <c r="I12" s="29">
        <f>2.5+2.6+2.6+4.3+4.4+4.3</f>
        <v>20.7</v>
      </c>
      <c r="J12" s="29">
        <f>2.5+2.5+2.6+4.5+4.6+4.5</f>
        <v>21.2</v>
      </c>
      <c r="K12" s="29">
        <f>SUM(I12:J12)</f>
        <v>41.9</v>
      </c>
      <c r="L12" s="31">
        <v>13</v>
      </c>
      <c r="M12" s="29">
        <f>2.7+2.6+2.7+3.6+3.6+3.5</f>
        <v>18.7</v>
      </c>
      <c r="N12" s="29">
        <f>2.8+2.5+2.6+3.7+3.5+3.7</f>
        <v>18.8</v>
      </c>
      <c r="O12" s="29">
        <f t="shared" si="0"/>
        <v>37.5</v>
      </c>
      <c r="P12" s="31">
        <v>3</v>
      </c>
      <c r="Q12" s="32">
        <f t="shared" si="1"/>
        <v>19</v>
      </c>
    </row>
    <row r="13" spans="1:17" x14ac:dyDescent="0.25">
      <c r="A13" s="28">
        <v>8</v>
      </c>
      <c r="B13" s="28" t="s">
        <v>607</v>
      </c>
      <c r="C13" s="28" t="s">
        <v>397</v>
      </c>
      <c r="D13" s="29"/>
      <c r="E13" s="29"/>
      <c r="F13" s="29"/>
      <c r="G13" s="29"/>
      <c r="H13" s="31"/>
      <c r="I13" s="29">
        <f>2.6+2.3+2.6+4.5+4.1+4.2</f>
        <v>20.3</v>
      </c>
      <c r="J13" s="29">
        <f>2.6+2.7+2.6+4.8+4.7+4.7</f>
        <v>22.099999999999998</v>
      </c>
      <c r="K13" s="29">
        <f>SUM(I13:J13)</f>
        <v>42.4</v>
      </c>
      <c r="L13" s="31">
        <v>13</v>
      </c>
      <c r="M13" s="29">
        <f>2.7+2.6+2.6+3.5+3.7+3.5</f>
        <v>18.600000000000001</v>
      </c>
      <c r="N13" s="29">
        <f>2.7+2.5+2.4+3.8+3.5+3.4</f>
        <v>18.299999999999997</v>
      </c>
      <c r="O13" s="29">
        <f t="shared" si="0"/>
        <v>36.9</v>
      </c>
      <c r="P13" s="31">
        <v>3</v>
      </c>
      <c r="Q13" s="32">
        <f t="shared" si="1"/>
        <v>16</v>
      </c>
    </row>
    <row r="14" spans="1:17" x14ac:dyDescent="0.25">
      <c r="A14" s="28">
        <v>9</v>
      </c>
      <c r="B14" s="28" t="s">
        <v>27</v>
      </c>
      <c r="C14" s="28" t="s">
        <v>7</v>
      </c>
      <c r="D14" s="29">
        <v>18.899999999999999</v>
      </c>
      <c r="E14" s="29">
        <v>18.5</v>
      </c>
      <c r="F14" s="29">
        <v>15.9</v>
      </c>
      <c r="G14" s="29">
        <f t="shared" ref="G14:G21" si="2">SUM(D14:F14)</f>
        <v>53.3</v>
      </c>
      <c r="H14" s="31">
        <v>13</v>
      </c>
      <c r="I14" s="29"/>
      <c r="J14" s="29"/>
      <c r="K14" s="29"/>
      <c r="L14" s="31"/>
      <c r="M14" s="29"/>
      <c r="N14" s="29"/>
      <c r="O14" s="29"/>
      <c r="P14" s="31"/>
      <c r="Q14" s="32">
        <f t="shared" si="1"/>
        <v>13</v>
      </c>
    </row>
    <row r="15" spans="1:17" x14ac:dyDescent="0.25">
      <c r="A15" s="28">
        <v>10</v>
      </c>
      <c r="B15" s="28" t="s">
        <v>22</v>
      </c>
      <c r="C15" s="28" t="s">
        <v>67</v>
      </c>
      <c r="D15" s="29">
        <v>17.600000000000001</v>
      </c>
      <c r="E15" s="29">
        <v>16.899999999999999</v>
      </c>
      <c r="F15" s="29">
        <v>15.1</v>
      </c>
      <c r="G15" s="29">
        <f t="shared" si="2"/>
        <v>49.6</v>
      </c>
      <c r="H15" s="31">
        <v>3</v>
      </c>
      <c r="I15" s="29">
        <f>2.4+2.5+2.8+4.4+4.4+4.3</f>
        <v>20.8</v>
      </c>
      <c r="J15" s="29">
        <f>2.3+2.3+2.4+4.3+4.4+4.4</f>
        <v>20.100000000000001</v>
      </c>
      <c r="K15" s="29">
        <f t="shared" ref="K15:K20" si="3">SUM(I15:J15)</f>
        <v>40.900000000000006</v>
      </c>
      <c r="L15" s="31">
        <v>3</v>
      </c>
      <c r="M15" s="29">
        <f>2.8+2.7+2.7+3.8+3.7+3.6</f>
        <v>19.3</v>
      </c>
      <c r="N15" s="29">
        <f>2.8+2.7+2.7+3.7+3.6+3.7</f>
        <v>19.2</v>
      </c>
      <c r="O15" s="29">
        <f t="shared" ref="O15:O25" si="4">M15+N15</f>
        <v>38.5</v>
      </c>
      <c r="P15" s="31">
        <v>3</v>
      </c>
      <c r="Q15" s="32">
        <f t="shared" si="1"/>
        <v>9</v>
      </c>
    </row>
    <row r="16" spans="1:17" x14ac:dyDescent="0.25">
      <c r="A16" s="28">
        <v>11</v>
      </c>
      <c r="B16" s="28" t="s">
        <v>25</v>
      </c>
      <c r="C16" s="28" t="s">
        <v>26</v>
      </c>
      <c r="D16" s="29">
        <v>19.600000000000001</v>
      </c>
      <c r="E16" s="29">
        <v>17.100000000000001</v>
      </c>
      <c r="F16" s="29">
        <v>14.9</v>
      </c>
      <c r="G16" s="29">
        <f t="shared" si="2"/>
        <v>51.6</v>
      </c>
      <c r="H16" s="31">
        <v>3</v>
      </c>
      <c r="I16" s="29">
        <f>2.5+2.6+2.7+4.5+4.5+4.3</f>
        <v>21.1</v>
      </c>
      <c r="J16" s="29">
        <f>2.4+2.4+2.2+4.3+4.2+4.3</f>
        <v>19.8</v>
      </c>
      <c r="K16" s="29">
        <f t="shared" si="3"/>
        <v>40.900000000000006</v>
      </c>
      <c r="L16" s="31">
        <v>3</v>
      </c>
      <c r="M16" s="29">
        <f>2.8+2.8+2.7+3.7+3.7+3.5</f>
        <v>19.2</v>
      </c>
      <c r="N16" s="29">
        <f>2.8+2.7+2.6+3.8+3.6+3.6</f>
        <v>19.099999999999998</v>
      </c>
      <c r="O16" s="29">
        <f t="shared" si="4"/>
        <v>38.299999999999997</v>
      </c>
      <c r="P16" s="31">
        <v>3</v>
      </c>
      <c r="Q16" s="32">
        <f t="shared" si="1"/>
        <v>9</v>
      </c>
    </row>
    <row r="17" spans="1:17" x14ac:dyDescent="0.25">
      <c r="A17" s="28">
        <v>12</v>
      </c>
      <c r="B17" s="28" t="s">
        <v>13</v>
      </c>
      <c r="C17" s="28" t="s">
        <v>5</v>
      </c>
      <c r="D17" s="29">
        <v>18.5</v>
      </c>
      <c r="E17" s="29">
        <v>18.399999999999999</v>
      </c>
      <c r="F17" s="29">
        <v>15</v>
      </c>
      <c r="G17" s="29">
        <f t="shared" si="2"/>
        <v>51.9</v>
      </c>
      <c r="H17" s="31">
        <v>3</v>
      </c>
      <c r="I17" s="29">
        <f>2.3+2.6+2.5+4.4+4.2+4.2</f>
        <v>20.2</v>
      </c>
      <c r="J17" s="29">
        <f>2.4+2.4+2.4+4.5+4.7+4.5</f>
        <v>20.9</v>
      </c>
      <c r="K17" s="29">
        <f t="shared" si="3"/>
        <v>41.099999999999994</v>
      </c>
      <c r="L17" s="31">
        <v>3</v>
      </c>
      <c r="M17" s="29">
        <f>2.6+2.6+2.6+3.7+3.7+3.7</f>
        <v>18.899999999999999</v>
      </c>
      <c r="N17" s="29">
        <f>2.9+2.6+2.4+3.9+3.6+3.5</f>
        <v>18.899999999999999</v>
      </c>
      <c r="O17" s="29">
        <f t="shared" si="4"/>
        <v>37.799999999999997</v>
      </c>
      <c r="P17" s="31">
        <v>3</v>
      </c>
      <c r="Q17" s="32">
        <f t="shared" si="1"/>
        <v>9</v>
      </c>
    </row>
    <row r="18" spans="1:17" x14ac:dyDescent="0.25">
      <c r="A18" s="28">
        <v>13</v>
      </c>
      <c r="B18" s="28" t="s">
        <v>780</v>
      </c>
      <c r="C18" s="28" t="s">
        <v>6</v>
      </c>
      <c r="D18" s="29">
        <v>20</v>
      </c>
      <c r="E18" s="29">
        <v>19.3</v>
      </c>
      <c r="F18" s="29">
        <v>13.4</v>
      </c>
      <c r="G18" s="29">
        <f t="shared" si="2"/>
        <v>52.699999999999996</v>
      </c>
      <c r="H18" s="31">
        <v>3</v>
      </c>
      <c r="I18" s="29">
        <f>2.5+2.6+2.8+4.6+4.4+4.4</f>
        <v>21.299999999999997</v>
      </c>
      <c r="J18" s="29">
        <f>2.3+2.3+2.3+4.3+4.3+4.3</f>
        <v>19.8</v>
      </c>
      <c r="K18" s="29">
        <f t="shared" si="3"/>
        <v>41.099999999999994</v>
      </c>
      <c r="L18" s="31">
        <v>3</v>
      </c>
      <c r="M18" s="29">
        <f>2.6+2.7+2.7+3.6+3.5+3.4</f>
        <v>18.5</v>
      </c>
      <c r="N18" s="29">
        <f>2.7+2.7+2.6+3.6+3.7+3.7</f>
        <v>19</v>
      </c>
      <c r="O18" s="29">
        <f t="shared" si="4"/>
        <v>37.5</v>
      </c>
      <c r="P18" s="31">
        <v>3</v>
      </c>
      <c r="Q18" s="32">
        <f t="shared" si="1"/>
        <v>9</v>
      </c>
    </row>
    <row r="19" spans="1:17" x14ac:dyDescent="0.25">
      <c r="A19" s="28">
        <v>14</v>
      </c>
      <c r="B19" s="28" t="s">
        <v>19</v>
      </c>
      <c r="C19" s="28" t="s">
        <v>5</v>
      </c>
      <c r="D19" s="29">
        <v>14.3</v>
      </c>
      <c r="E19" s="29">
        <v>17.899999999999999</v>
      </c>
      <c r="F19" s="29">
        <v>13.6</v>
      </c>
      <c r="G19" s="29">
        <f t="shared" si="2"/>
        <v>45.800000000000004</v>
      </c>
      <c r="H19" s="31">
        <v>3</v>
      </c>
      <c r="I19" s="29">
        <f>2.4+2.3+2.4+4.3+4.1+4</f>
        <v>19.5</v>
      </c>
      <c r="J19" s="29">
        <f>2.3+2.4+2.4+4.3+4.3+4.3</f>
        <v>20</v>
      </c>
      <c r="K19" s="29">
        <f t="shared" si="3"/>
        <v>39.5</v>
      </c>
      <c r="L19" s="31">
        <v>3</v>
      </c>
      <c r="M19" s="29">
        <f>2.5+2.5+2.4+3.5+3.6+3.4</f>
        <v>17.899999999999999</v>
      </c>
      <c r="N19" s="29">
        <f>2.6+2.4+2.5+3.6+3.3+3.6</f>
        <v>18</v>
      </c>
      <c r="O19" s="29">
        <f t="shared" si="4"/>
        <v>35.9</v>
      </c>
      <c r="P19" s="31">
        <v>3</v>
      </c>
      <c r="Q19" s="32">
        <f t="shared" si="1"/>
        <v>9</v>
      </c>
    </row>
    <row r="20" spans="1:17" x14ac:dyDescent="0.25">
      <c r="A20" s="28">
        <v>15</v>
      </c>
      <c r="B20" s="28" t="s">
        <v>743</v>
      </c>
      <c r="C20" s="28" t="s">
        <v>12</v>
      </c>
      <c r="D20" s="29">
        <v>16.2</v>
      </c>
      <c r="E20" s="29">
        <v>17.100000000000001</v>
      </c>
      <c r="F20" s="29">
        <v>13.6</v>
      </c>
      <c r="G20" s="29">
        <f t="shared" si="2"/>
        <v>46.9</v>
      </c>
      <c r="H20" s="31">
        <v>3</v>
      </c>
      <c r="I20" s="29">
        <f>2.2+2.2+2.4+4+3.9+4</f>
        <v>18.700000000000003</v>
      </c>
      <c r="J20" s="29">
        <f>2.2+2.3+2.2+4.2+4.2+4.1</f>
        <v>19.200000000000003</v>
      </c>
      <c r="K20" s="29">
        <f t="shared" si="3"/>
        <v>37.900000000000006</v>
      </c>
      <c r="L20" s="31">
        <v>3</v>
      </c>
      <c r="M20" s="29">
        <f>2.5+2.6+2.6+3.5+3.6+3.6</f>
        <v>18.399999999999999</v>
      </c>
      <c r="N20" s="29">
        <f>2.4+2.3+2.3+3.4+3.2+3.3</f>
        <v>16.899999999999999</v>
      </c>
      <c r="O20" s="29">
        <f t="shared" si="4"/>
        <v>35.299999999999997</v>
      </c>
      <c r="P20" s="31">
        <v>3</v>
      </c>
      <c r="Q20" s="32">
        <f t="shared" si="1"/>
        <v>9</v>
      </c>
    </row>
    <row r="21" spans="1:17" x14ac:dyDescent="0.25">
      <c r="A21" s="28">
        <v>16</v>
      </c>
      <c r="B21" s="36" t="s">
        <v>24</v>
      </c>
      <c r="C21" s="28" t="s">
        <v>7</v>
      </c>
      <c r="D21" s="29">
        <v>17.7</v>
      </c>
      <c r="E21" s="29">
        <v>17.5</v>
      </c>
      <c r="F21" s="29">
        <v>14.7</v>
      </c>
      <c r="G21" s="29">
        <f t="shared" si="2"/>
        <v>49.900000000000006</v>
      </c>
      <c r="H21" s="31">
        <v>3</v>
      </c>
      <c r="I21" s="29"/>
      <c r="J21" s="29"/>
      <c r="K21" s="29"/>
      <c r="L21" s="31"/>
      <c r="M21" s="29">
        <f>2.7+2.6+2.7+3.7+3.6+3.6</f>
        <v>18.899999999999999</v>
      </c>
      <c r="N21" s="29">
        <f>2.7+2.5+2.4+3.7+3.4+3.5</f>
        <v>18.200000000000003</v>
      </c>
      <c r="O21" s="29">
        <f t="shared" si="4"/>
        <v>37.1</v>
      </c>
      <c r="P21" s="31">
        <v>3</v>
      </c>
      <c r="Q21" s="32">
        <f t="shared" si="1"/>
        <v>6</v>
      </c>
    </row>
    <row r="22" spans="1:17" x14ac:dyDescent="0.25">
      <c r="A22" s="28">
        <v>17</v>
      </c>
      <c r="B22" s="28" t="s">
        <v>604</v>
      </c>
      <c r="C22" s="28" t="s">
        <v>82</v>
      </c>
      <c r="D22" s="29"/>
      <c r="E22" s="29"/>
      <c r="F22" s="29"/>
      <c r="G22" s="29"/>
      <c r="H22" s="31"/>
      <c r="I22" s="29">
        <f>2.3+2.2+2.3+4.3+4.1+3.8</f>
        <v>19</v>
      </c>
      <c r="J22" s="29">
        <f>2.2+2.2+2.1+4.2+4.1+4.1</f>
        <v>18.899999999999999</v>
      </c>
      <c r="K22" s="29">
        <f>SUM(I22:J22)</f>
        <v>37.9</v>
      </c>
      <c r="L22" s="31">
        <v>3</v>
      </c>
      <c r="M22" s="29">
        <f>2.6+2.6+2.7+3.5+3.5+3.6</f>
        <v>18.5</v>
      </c>
      <c r="N22" s="29">
        <f>2.5+2.5+2.4+3.6+3.4+3.4</f>
        <v>17.8</v>
      </c>
      <c r="O22" s="29">
        <f t="shared" si="4"/>
        <v>36.299999999999997</v>
      </c>
      <c r="P22" s="31">
        <v>3</v>
      </c>
      <c r="Q22" s="32">
        <f t="shared" si="1"/>
        <v>6</v>
      </c>
    </row>
    <row r="23" spans="1:17" x14ac:dyDescent="0.25">
      <c r="A23" s="28">
        <v>18</v>
      </c>
      <c r="B23" s="34" t="s">
        <v>742</v>
      </c>
      <c r="C23" s="28" t="s">
        <v>5</v>
      </c>
      <c r="D23" s="29"/>
      <c r="E23" s="29"/>
      <c r="F23" s="29"/>
      <c r="G23" s="29"/>
      <c r="H23" s="31"/>
      <c r="I23" s="29">
        <f>2.4+2.4+2.7+4.3+4.2+4.2</f>
        <v>20.2</v>
      </c>
      <c r="J23" s="29">
        <f>2.5+2.6+2.5+4.6+4.6+4.6</f>
        <v>21.4</v>
      </c>
      <c r="K23" s="29">
        <f>SUM(I23:J23)</f>
        <v>41.599999999999994</v>
      </c>
      <c r="L23" s="31">
        <v>3</v>
      </c>
      <c r="M23" s="29">
        <f>2.5+2.6+2.6+3.5+3.6+3.5</f>
        <v>18.299999999999997</v>
      </c>
      <c r="N23" s="29">
        <f>2.8+2.4+2.3+3.7+3.3+3.3</f>
        <v>17.8</v>
      </c>
      <c r="O23" s="29">
        <f t="shared" si="4"/>
        <v>36.099999999999994</v>
      </c>
      <c r="P23" s="31">
        <v>3</v>
      </c>
      <c r="Q23" s="32">
        <f t="shared" si="1"/>
        <v>6</v>
      </c>
    </row>
    <row r="24" spans="1:17" x14ac:dyDescent="0.25">
      <c r="A24" s="28">
        <v>19</v>
      </c>
      <c r="B24" s="28" t="s">
        <v>605</v>
      </c>
      <c r="C24" s="28" t="s">
        <v>15</v>
      </c>
      <c r="D24" s="29"/>
      <c r="E24" s="29"/>
      <c r="F24" s="29"/>
      <c r="G24" s="29"/>
      <c r="H24" s="31"/>
      <c r="I24" s="29">
        <f>2.3+2.3+2.2+4.1+4.1+4</f>
        <v>19</v>
      </c>
      <c r="J24" s="29">
        <f>2.2+2.1+2.2+4.1+4+4.1</f>
        <v>18.700000000000003</v>
      </c>
      <c r="K24" s="29">
        <f>SUM(I24:J24)</f>
        <v>37.700000000000003</v>
      </c>
      <c r="L24" s="31">
        <v>3</v>
      </c>
      <c r="M24" s="29">
        <f>2.6+2.6+2.6+3.6+3.5+3.6</f>
        <v>18.5</v>
      </c>
      <c r="N24" s="29">
        <f>2.4+2.3+2.3+3.2+3.2+3.3</f>
        <v>16.7</v>
      </c>
      <c r="O24" s="29">
        <f t="shared" si="4"/>
        <v>35.200000000000003</v>
      </c>
      <c r="P24" s="31">
        <v>3</v>
      </c>
      <c r="Q24" s="32">
        <f t="shared" si="1"/>
        <v>6</v>
      </c>
    </row>
    <row r="25" spans="1:17" x14ac:dyDescent="0.25">
      <c r="A25" s="28">
        <v>20</v>
      </c>
      <c r="B25" s="28" t="s">
        <v>21</v>
      </c>
      <c r="C25" s="28" t="s">
        <v>12</v>
      </c>
      <c r="D25" s="29">
        <v>14.9</v>
      </c>
      <c r="E25" s="29">
        <v>16.7</v>
      </c>
      <c r="F25" s="29">
        <v>13.4</v>
      </c>
      <c r="G25" s="29">
        <f>SUM(D25:F25)</f>
        <v>45</v>
      </c>
      <c r="H25" s="31">
        <v>3</v>
      </c>
      <c r="I25" s="29"/>
      <c r="J25" s="29"/>
      <c r="K25" s="29"/>
      <c r="L25" s="31"/>
      <c r="M25" s="29">
        <f>2.5+2.5+2.5+3.4+3.5+3.5</f>
        <v>17.899999999999999</v>
      </c>
      <c r="N25" s="29">
        <f>2.3+2.2+2.3+3.4+3.1+3.2</f>
        <v>16.5</v>
      </c>
      <c r="O25" s="29">
        <f t="shared" si="4"/>
        <v>34.4</v>
      </c>
      <c r="P25" s="31">
        <v>3</v>
      </c>
      <c r="Q25" s="32">
        <f t="shared" si="1"/>
        <v>6</v>
      </c>
    </row>
    <row r="26" spans="1:17" x14ac:dyDescent="0.25">
      <c r="A26" s="28">
        <v>21</v>
      </c>
      <c r="B26" s="28" t="s">
        <v>20</v>
      </c>
      <c r="C26" s="28" t="s">
        <v>5</v>
      </c>
      <c r="D26" s="29">
        <v>18.399999999999999</v>
      </c>
      <c r="E26" s="29">
        <v>17.7</v>
      </c>
      <c r="F26" s="29">
        <v>16.399999999999999</v>
      </c>
      <c r="G26" s="29">
        <f>SUM(D26:F26)</f>
        <v>52.499999999999993</v>
      </c>
      <c r="H26" s="31">
        <v>3</v>
      </c>
      <c r="I26" s="29">
        <f>2.5+2.5+2.7+4.4+4.1+4.1</f>
        <v>20.300000000000004</v>
      </c>
      <c r="J26" s="29">
        <f>2.5+2.5+2.4+4.7+4.6+4.5</f>
        <v>21.200000000000003</v>
      </c>
      <c r="K26" s="29">
        <f>SUM(I26:J26)</f>
        <v>41.500000000000007</v>
      </c>
      <c r="L26" s="31">
        <v>3</v>
      </c>
      <c r="M26" s="29"/>
      <c r="N26" s="29"/>
      <c r="O26" s="29"/>
      <c r="P26" s="31"/>
      <c r="Q26" s="32">
        <f t="shared" si="1"/>
        <v>6</v>
      </c>
    </row>
    <row r="27" spans="1:17" x14ac:dyDescent="0.25">
      <c r="A27" s="28">
        <v>22</v>
      </c>
      <c r="B27" s="28" t="s">
        <v>745</v>
      </c>
      <c r="C27" s="28" t="s">
        <v>444</v>
      </c>
      <c r="D27" s="29"/>
      <c r="E27" s="29"/>
      <c r="F27" s="29"/>
      <c r="G27" s="29"/>
      <c r="H27" s="31"/>
      <c r="I27" s="29"/>
      <c r="J27" s="29"/>
      <c r="K27" s="29"/>
      <c r="L27" s="31"/>
      <c r="M27" s="29">
        <f>2.4+2.7+2.5+3.4+3.6+3.4</f>
        <v>18</v>
      </c>
      <c r="N27" s="29">
        <f>2.4+2.3+2.3+3.2+3.2+3.4</f>
        <v>16.799999999999997</v>
      </c>
      <c r="O27" s="29">
        <f>M27+N27</f>
        <v>34.799999999999997</v>
      </c>
      <c r="P27" s="31">
        <v>3</v>
      </c>
      <c r="Q27" s="32">
        <f t="shared" si="1"/>
        <v>3</v>
      </c>
    </row>
    <row r="28" spans="1:17" x14ac:dyDescent="0.25">
      <c r="A28" s="28">
        <v>23</v>
      </c>
      <c r="B28" s="35" t="s">
        <v>606</v>
      </c>
      <c r="C28" s="28" t="s">
        <v>29</v>
      </c>
      <c r="D28" s="29"/>
      <c r="E28" s="29"/>
      <c r="F28" s="29"/>
      <c r="G28" s="29"/>
      <c r="H28" s="31"/>
      <c r="I28" s="29">
        <f>2.4+2.4+2.6+4.3+4.2+4.1</f>
        <v>20</v>
      </c>
      <c r="J28" s="29">
        <f>2.3+2.2+2.2+4.2+4.1+4.2</f>
        <v>19.2</v>
      </c>
      <c r="K28" s="29">
        <f>SUM(I28:J28)</f>
        <v>39.200000000000003</v>
      </c>
      <c r="L28" s="31">
        <v>3</v>
      </c>
      <c r="M28" s="29"/>
      <c r="N28" s="29"/>
      <c r="O28" s="29"/>
      <c r="P28" s="31"/>
      <c r="Q28" s="32">
        <f t="shared" si="1"/>
        <v>3</v>
      </c>
    </row>
    <row r="29" spans="1:17" x14ac:dyDescent="0.25">
      <c r="A29" s="28">
        <v>24</v>
      </c>
      <c r="B29" s="28" t="s">
        <v>608</v>
      </c>
      <c r="C29" s="28" t="s">
        <v>12</v>
      </c>
      <c r="D29" s="29"/>
      <c r="E29" s="29"/>
      <c r="F29" s="29"/>
      <c r="G29" s="29"/>
      <c r="H29" s="31"/>
      <c r="I29" s="29">
        <f>2.1+2.3+2.6+4+3.9+4</f>
        <v>18.899999999999999</v>
      </c>
      <c r="J29" s="29">
        <f>3.9+1.9+2+4+3.9+4</f>
        <v>19.700000000000003</v>
      </c>
      <c r="K29" s="29">
        <f>SUM(I29:J29)</f>
        <v>38.6</v>
      </c>
      <c r="L29" s="31">
        <v>3</v>
      </c>
      <c r="M29" s="29"/>
      <c r="N29" s="29"/>
      <c r="O29" s="29"/>
      <c r="P29" s="31"/>
      <c r="Q29" s="32">
        <f t="shared" si="1"/>
        <v>3</v>
      </c>
    </row>
    <row r="30" spans="1:17" x14ac:dyDescent="0.25">
      <c r="A30" s="28">
        <v>25</v>
      </c>
      <c r="B30" s="28" t="s">
        <v>744</v>
      </c>
      <c r="C30" s="28" t="s">
        <v>12</v>
      </c>
      <c r="D30" s="29"/>
      <c r="E30" s="29"/>
      <c r="F30" s="29"/>
      <c r="G30" s="29"/>
      <c r="H30" s="31"/>
      <c r="I30" s="29">
        <f>2.2+2.3+2.4+4.1+4.1+3.9</f>
        <v>19</v>
      </c>
      <c r="J30" s="29">
        <f>2.1+2+2+4+4.1+4</f>
        <v>18.2</v>
      </c>
      <c r="K30" s="29">
        <f>SUM(I30:J30)</f>
        <v>37.200000000000003</v>
      </c>
      <c r="L30" s="31">
        <v>3</v>
      </c>
      <c r="M30" s="29"/>
      <c r="N30" s="29"/>
      <c r="O30" s="29"/>
      <c r="P30" s="31"/>
      <c r="Q30" s="32">
        <f t="shared" si="1"/>
        <v>3</v>
      </c>
    </row>
    <row r="31" spans="1:17" x14ac:dyDescent="0.25">
      <c r="A31" s="28">
        <v>26</v>
      </c>
      <c r="B31" s="35" t="s">
        <v>28</v>
      </c>
      <c r="C31" s="28" t="s">
        <v>29</v>
      </c>
      <c r="D31" s="29">
        <v>17.8</v>
      </c>
      <c r="E31" s="29">
        <v>17.8</v>
      </c>
      <c r="F31" s="29">
        <v>15.7</v>
      </c>
      <c r="G31" s="29">
        <f>SUM(D31:F31)</f>
        <v>51.3</v>
      </c>
      <c r="H31" s="31">
        <v>3</v>
      </c>
      <c r="I31" s="29"/>
      <c r="J31" s="29"/>
      <c r="K31" s="29"/>
      <c r="L31" s="31"/>
      <c r="M31" s="29"/>
      <c r="N31" s="29"/>
      <c r="O31" s="29"/>
      <c r="P31" s="31"/>
      <c r="Q31" s="32">
        <f t="shared" si="1"/>
        <v>3</v>
      </c>
    </row>
    <row r="32" spans="1:17" x14ac:dyDescent="0.25">
      <c r="A32" s="28">
        <v>27</v>
      </c>
      <c r="B32" s="28" t="s">
        <v>18</v>
      </c>
      <c r="C32" s="28" t="s">
        <v>6</v>
      </c>
      <c r="D32" s="29">
        <v>18.2</v>
      </c>
      <c r="E32" s="29">
        <v>18.2</v>
      </c>
      <c r="F32" s="29">
        <v>13</v>
      </c>
      <c r="G32" s="29">
        <f>SUM(D32:F32)</f>
        <v>49.4</v>
      </c>
      <c r="H32" s="31">
        <v>3</v>
      </c>
      <c r="I32" s="29"/>
      <c r="J32" s="29"/>
      <c r="K32" s="29"/>
      <c r="L32" s="31"/>
      <c r="M32" s="29"/>
      <c r="N32" s="29"/>
      <c r="O32" s="29"/>
      <c r="P32" s="31"/>
      <c r="Q32" s="32">
        <f t="shared" si="1"/>
        <v>3</v>
      </c>
    </row>
    <row r="33" spans="1:17" x14ac:dyDescent="0.25">
      <c r="A33" s="28">
        <v>28</v>
      </c>
      <c r="B33" s="28" t="s">
        <v>17</v>
      </c>
      <c r="C33" s="28" t="s">
        <v>6</v>
      </c>
      <c r="D33" s="29">
        <v>16.8</v>
      </c>
      <c r="E33" s="29">
        <v>16.600000000000001</v>
      </c>
      <c r="F33" s="29">
        <v>13.4</v>
      </c>
      <c r="G33" s="29">
        <f>SUM(D33:F33)</f>
        <v>46.800000000000004</v>
      </c>
      <c r="H33" s="31">
        <v>3</v>
      </c>
      <c r="I33" s="29"/>
      <c r="J33" s="29"/>
      <c r="K33" s="29"/>
      <c r="L33" s="31"/>
      <c r="M33" s="29"/>
      <c r="N33" s="29"/>
      <c r="O33" s="29"/>
      <c r="P33" s="31"/>
      <c r="Q33" s="32">
        <f t="shared" si="1"/>
        <v>3</v>
      </c>
    </row>
    <row r="34" spans="1:17" x14ac:dyDescent="0.25">
      <c r="A34" s="28">
        <v>29</v>
      </c>
      <c r="B34" s="28" t="s">
        <v>603</v>
      </c>
      <c r="C34" s="28" t="s">
        <v>67</v>
      </c>
      <c r="D34" s="29"/>
      <c r="E34" s="29"/>
      <c r="F34" s="29"/>
      <c r="G34" s="29"/>
      <c r="H34" s="31"/>
      <c r="I34" s="29"/>
      <c r="J34" s="29"/>
      <c r="K34" s="29"/>
      <c r="L34" s="31"/>
      <c r="M34" s="29"/>
      <c r="N34" s="29"/>
      <c r="O34" s="29"/>
      <c r="P34" s="31"/>
      <c r="Q34" s="32">
        <f t="shared" si="1"/>
        <v>0</v>
      </c>
    </row>
    <row r="35" spans="1:17" x14ac:dyDescent="0.25">
      <c r="A35" s="28">
        <v>30</v>
      </c>
      <c r="B35" s="36" t="s">
        <v>610</v>
      </c>
      <c r="C35" s="28" t="s">
        <v>7</v>
      </c>
      <c r="D35" s="29"/>
      <c r="E35" s="29"/>
      <c r="F35" s="29"/>
      <c r="G35" s="29"/>
      <c r="H35" s="31"/>
      <c r="I35" s="29"/>
      <c r="J35" s="29"/>
      <c r="K35" s="29"/>
      <c r="L35" s="31"/>
      <c r="M35" s="29"/>
      <c r="N35" s="29"/>
      <c r="O35" s="29"/>
      <c r="P35" s="31"/>
      <c r="Q35" s="32">
        <f t="shared" si="1"/>
        <v>0</v>
      </c>
    </row>
  </sheetData>
  <sortState ref="B4:Q33">
    <sortCondition descending="1" ref="Q4:Q33"/>
  </sortState>
  <mergeCells count="1">
    <mergeCell ref="A1:G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8.85546875" customWidth="1"/>
    <col min="4" max="4" width="6.5703125" customWidth="1"/>
    <col min="5" max="5" width="6" customWidth="1"/>
    <col min="6" max="6" width="7.42578125" bestFit="1" customWidth="1"/>
    <col min="7" max="7" width="13.140625" customWidth="1"/>
    <col min="8" max="8" width="18.42578125" customWidth="1"/>
    <col min="9" max="9" width="7.85546875" customWidth="1"/>
    <col min="10" max="10" width="7.42578125" customWidth="1"/>
    <col min="11" max="11" width="12.42578125" customWidth="1"/>
    <col min="12" max="12" width="18.42578125" customWidth="1"/>
    <col min="13" max="13" width="7.7109375" customWidth="1"/>
    <col min="14" max="14" width="7.5703125" customWidth="1"/>
    <col min="16" max="16" width="18.28515625" customWidth="1"/>
    <col min="17" max="17" width="23.28515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186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33</v>
      </c>
      <c r="C6" s="28" t="s">
        <v>9</v>
      </c>
      <c r="D6" s="29">
        <v>24</v>
      </c>
      <c r="E6" s="29">
        <v>23.1</v>
      </c>
      <c r="F6" s="29">
        <v>22.2</v>
      </c>
      <c r="G6" s="29">
        <f>SUM(D6:F6)</f>
        <v>69.3</v>
      </c>
      <c r="H6" s="31">
        <v>23</v>
      </c>
      <c r="I6" s="29">
        <f>2.6+2.6+2.7+3.7+3.5+3.7</f>
        <v>18.8</v>
      </c>
      <c r="J6" s="29">
        <f>2.8+2.8+2.8+4.3+4.6+4.3</f>
        <v>21.599999999999998</v>
      </c>
      <c r="K6" s="29">
        <f>SUM(I6:J6)</f>
        <v>40.4</v>
      </c>
      <c r="L6" s="31">
        <v>18</v>
      </c>
      <c r="M6" s="29">
        <f>2.9+2.9+2.9+3.8+3.8+3.8</f>
        <v>20.100000000000001</v>
      </c>
      <c r="N6" s="29">
        <f>3.1+2.8+2.8+3.9+3.7+3.7</f>
        <v>20</v>
      </c>
      <c r="O6" s="29">
        <f>M6+N6</f>
        <v>40.1</v>
      </c>
      <c r="P6" s="31">
        <v>23</v>
      </c>
      <c r="Q6" s="32">
        <f t="shared" ref="Q6:Q11" si="0">H6+L6+P6</f>
        <v>64</v>
      </c>
    </row>
    <row r="7" spans="1:17" x14ac:dyDescent="0.25">
      <c r="A7" s="28">
        <v>2</v>
      </c>
      <c r="B7" s="28" t="s">
        <v>32</v>
      </c>
      <c r="C7" s="28" t="s">
        <v>6</v>
      </c>
      <c r="D7" s="29">
        <v>23.3</v>
      </c>
      <c r="E7" s="29">
        <v>21.9</v>
      </c>
      <c r="F7" s="29">
        <v>20.2</v>
      </c>
      <c r="G7" s="29">
        <f>SUM(D7:F7)</f>
        <v>65.400000000000006</v>
      </c>
      <c r="H7" s="31">
        <v>18</v>
      </c>
      <c r="I7" s="29">
        <f>2.7+2.7+2.7+3.6+3.6+3.5</f>
        <v>18.8</v>
      </c>
      <c r="J7" s="29">
        <f>2.6+2.6+2.7+4.2+4.1+4.1</f>
        <v>20.300000000000004</v>
      </c>
      <c r="K7" s="29">
        <f>SUM(I7:J7)</f>
        <v>39.100000000000009</v>
      </c>
      <c r="L7" s="31">
        <v>13</v>
      </c>
      <c r="M7" s="29">
        <f>2.9+2.9+2.8+4+3.8+3.8</f>
        <v>20.2</v>
      </c>
      <c r="N7" s="29">
        <f>2.7+2.6+2.6+3.6+3.6+3.6</f>
        <v>18.7</v>
      </c>
      <c r="O7" s="29">
        <f>M7+N7</f>
        <v>38.9</v>
      </c>
      <c r="P7" s="31">
        <v>18</v>
      </c>
      <c r="Q7" s="32">
        <f t="shared" si="0"/>
        <v>49</v>
      </c>
    </row>
    <row r="8" spans="1:17" x14ac:dyDescent="0.25">
      <c r="A8" s="28">
        <v>3</v>
      </c>
      <c r="B8" s="28" t="s">
        <v>652</v>
      </c>
      <c r="C8" s="28" t="s">
        <v>397</v>
      </c>
      <c r="D8" s="29"/>
      <c r="E8" s="29"/>
      <c r="F8" s="29"/>
      <c r="G8" s="29"/>
      <c r="H8" s="31"/>
      <c r="I8" s="29">
        <f>2.6+2.5+2.6+3.5+3.6+3.6</f>
        <v>18.399999999999999</v>
      </c>
      <c r="J8" s="29">
        <f>2.8+2.6+2.7+4.3+4.2+4.2</f>
        <v>20.8</v>
      </c>
      <c r="K8" s="29">
        <f>SUM(I8:J8)</f>
        <v>39.200000000000003</v>
      </c>
      <c r="L8" s="31">
        <v>13</v>
      </c>
      <c r="M8" s="29">
        <f>2.6+2.7+2.8+3.6+3.6+3.7</f>
        <v>19</v>
      </c>
      <c r="N8" s="29">
        <f>2.7+2.7+2.7+3.8+3.7+3.6</f>
        <v>19.200000000000003</v>
      </c>
      <c r="O8" s="29">
        <f>M8+N8</f>
        <v>38.200000000000003</v>
      </c>
      <c r="P8" s="31">
        <v>13</v>
      </c>
      <c r="Q8" s="32">
        <f t="shared" si="0"/>
        <v>26</v>
      </c>
    </row>
    <row r="9" spans="1:17" x14ac:dyDescent="0.25">
      <c r="A9" s="28">
        <v>4</v>
      </c>
      <c r="B9" s="28" t="s">
        <v>611</v>
      </c>
      <c r="C9" s="28" t="s">
        <v>9</v>
      </c>
      <c r="D9" s="29"/>
      <c r="E9" s="29"/>
      <c r="F9" s="29"/>
      <c r="G9" s="29"/>
      <c r="H9" s="31"/>
      <c r="I9" s="29">
        <f>2.7+2.7+2.7+3.8+3.7+3.6</f>
        <v>19.200000000000003</v>
      </c>
      <c r="J9" s="29">
        <f>2.8+2.7+2.8+4.5+4.5+4.4</f>
        <v>21.700000000000003</v>
      </c>
      <c r="K9" s="29">
        <f>SUM(I9:J9)</f>
        <v>40.900000000000006</v>
      </c>
      <c r="L9" s="31">
        <v>23</v>
      </c>
      <c r="M9" s="29"/>
      <c r="N9" s="29"/>
      <c r="O9" s="29"/>
      <c r="P9" s="31"/>
      <c r="Q9" s="32">
        <f t="shared" si="0"/>
        <v>23</v>
      </c>
    </row>
    <row r="10" spans="1:17" x14ac:dyDescent="0.25">
      <c r="A10" s="28">
        <v>5</v>
      </c>
      <c r="B10" s="28" t="s">
        <v>746</v>
      </c>
      <c r="C10" s="28" t="s">
        <v>704</v>
      </c>
      <c r="D10" s="29"/>
      <c r="E10" s="29"/>
      <c r="F10" s="29"/>
      <c r="G10" s="29"/>
      <c r="H10" s="31"/>
      <c r="I10" s="29"/>
      <c r="J10" s="29"/>
      <c r="K10" s="29"/>
      <c r="L10" s="31"/>
      <c r="M10" s="29">
        <f>2.7+2.7+2.6+3.6+3.7+3.6</f>
        <v>18.900000000000002</v>
      </c>
      <c r="N10" s="29">
        <f>2.6+2.5+2.6+3.8+3.4+3.5</f>
        <v>18.399999999999999</v>
      </c>
      <c r="O10" s="29">
        <f>M10+N10</f>
        <v>37.299999999999997</v>
      </c>
      <c r="P10" s="31">
        <v>13</v>
      </c>
      <c r="Q10" s="32">
        <f t="shared" si="0"/>
        <v>13</v>
      </c>
    </row>
    <row r="11" spans="1:17" x14ac:dyDescent="0.25">
      <c r="A11" s="28">
        <v>6</v>
      </c>
      <c r="B11" s="28" t="s">
        <v>612</v>
      </c>
      <c r="C11" s="28" t="s">
        <v>397</v>
      </c>
      <c r="D11" s="29"/>
      <c r="E11" s="29"/>
      <c r="F11" s="29"/>
      <c r="G11" s="29"/>
      <c r="H11" s="31"/>
      <c r="I11" s="29">
        <f>2.6+2.6+2.6+3.3+3.5+3.5</f>
        <v>18.100000000000001</v>
      </c>
      <c r="J11" s="29">
        <f>2.6+2.7+2.6+4.1+4.2+4.1</f>
        <v>20.299999999999997</v>
      </c>
      <c r="K11" s="29">
        <f>SUM(I11:J11)</f>
        <v>38.4</v>
      </c>
      <c r="L11" s="31">
        <v>3</v>
      </c>
      <c r="M11" s="29"/>
      <c r="N11" s="29"/>
      <c r="O11" s="29"/>
      <c r="P11" s="31"/>
      <c r="Q11" s="32">
        <f t="shared" si="0"/>
        <v>3</v>
      </c>
    </row>
  </sheetData>
  <sortState ref="B4:Q9">
    <sortCondition descending="1" ref="Q4:Q9"/>
  </sortState>
  <mergeCells count="1">
    <mergeCell ref="A1:G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E1" zoomScaleNormal="100" workbookViewId="0">
      <selection activeCell="Q14" sqref="Q1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5" width="6.85546875" customWidth="1"/>
    <col min="6" max="6" width="6.7109375" customWidth="1"/>
    <col min="7" max="7" width="12" customWidth="1"/>
    <col min="8" max="8" width="19.42578125" customWidth="1"/>
    <col min="9" max="9" width="9.5703125" customWidth="1"/>
    <col min="10" max="10" width="9" customWidth="1"/>
    <col min="12" max="12" width="18.5703125" customWidth="1"/>
    <col min="13" max="13" width="8.85546875" customWidth="1"/>
    <col min="14" max="14" width="8.140625" customWidth="1"/>
    <col min="16" max="16" width="18.42578125" customWidth="1"/>
    <col min="17" max="17" width="22.140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278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275</v>
      </c>
      <c r="C6" s="28" t="s">
        <v>5</v>
      </c>
      <c r="D6" s="29">
        <v>21.2</v>
      </c>
      <c r="E6" s="29">
        <v>23.6</v>
      </c>
      <c r="F6" s="29">
        <v>20.2</v>
      </c>
      <c r="G6" s="29">
        <f>SUM(D6:F6)</f>
        <v>65</v>
      </c>
      <c r="H6" s="31">
        <v>18</v>
      </c>
      <c r="I6" s="29">
        <f>3.1+3.1+3+4.2+4.2+4.1</f>
        <v>21.699999999999996</v>
      </c>
      <c r="J6" s="29">
        <f>2.7+2.6+2.6+3.8+3.7+3.7</f>
        <v>19.099999999999998</v>
      </c>
      <c r="K6" s="29">
        <f>SUM(I6:J6)</f>
        <v>40.799999999999997</v>
      </c>
      <c r="L6" s="31">
        <v>18</v>
      </c>
      <c r="M6" s="29">
        <f>2.7+2.7+2.7+3.7+3.8+3.8</f>
        <v>19.400000000000002</v>
      </c>
      <c r="N6" s="29">
        <f>2.7+2.8+2.8+3.8+3.7+3.7</f>
        <v>19.5</v>
      </c>
      <c r="O6" s="29">
        <f>M6+N6</f>
        <v>38.900000000000006</v>
      </c>
      <c r="P6" s="31">
        <v>13</v>
      </c>
      <c r="Q6" s="32">
        <f>H6+L6+P6</f>
        <v>49</v>
      </c>
    </row>
    <row r="7" spans="1:17" x14ac:dyDescent="0.25">
      <c r="A7" s="28">
        <v>2</v>
      </c>
      <c r="B7" s="28" t="s">
        <v>783</v>
      </c>
      <c r="C7" s="28" t="s">
        <v>82</v>
      </c>
      <c r="D7" s="29"/>
      <c r="E7" s="29"/>
      <c r="F7" s="29"/>
      <c r="G7" s="29"/>
      <c r="H7" s="31"/>
      <c r="I7" s="29">
        <f>2.7+2.7+2.7+3.6+3.7+3.7</f>
        <v>19.100000000000001</v>
      </c>
      <c r="J7" s="29">
        <f>2.8+2.8+2.8+4.5+4.6+4.5</f>
        <v>22</v>
      </c>
      <c r="K7" s="29">
        <f>SUM(I7:J7)</f>
        <v>41.1</v>
      </c>
      <c r="L7" s="31">
        <v>23</v>
      </c>
      <c r="M7" s="29">
        <f>2.7+2.7+2.7+3.8+3.7+3.8</f>
        <v>19.400000000000002</v>
      </c>
      <c r="N7" s="29">
        <f>2.7+2.9+2.9+3.8+4+3.9</f>
        <v>20.2</v>
      </c>
      <c r="O7" s="29">
        <f>M7+N7</f>
        <v>39.6</v>
      </c>
      <c r="P7" s="31">
        <v>23</v>
      </c>
      <c r="Q7" s="32">
        <f>H7+L7+P7</f>
        <v>46</v>
      </c>
    </row>
    <row r="8" spans="1:17" x14ac:dyDescent="0.25">
      <c r="A8" s="28">
        <v>3</v>
      </c>
      <c r="B8" s="28" t="s">
        <v>274</v>
      </c>
      <c r="C8" s="28" t="s">
        <v>26</v>
      </c>
      <c r="D8" s="29">
        <v>21.6</v>
      </c>
      <c r="E8" s="29">
        <v>20.7</v>
      </c>
      <c r="F8" s="29">
        <v>20.2</v>
      </c>
      <c r="G8" s="29">
        <f>SUM(D8:F8)</f>
        <v>62.5</v>
      </c>
      <c r="H8" s="31">
        <v>13</v>
      </c>
      <c r="I8" s="29">
        <f>2.8+3+3+3.9+4.1+4.2</f>
        <v>21</v>
      </c>
      <c r="J8" s="29">
        <f>2.6+2.7+2.7+3.7+3.7+3.6</f>
        <v>19</v>
      </c>
      <c r="K8" s="29">
        <f>SUM(I8:J8)</f>
        <v>40</v>
      </c>
      <c r="L8" s="31">
        <v>13</v>
      </c>
      <c r="M8" s="29">
        <f>2.7+2.8+2.7+3.7+3.8+3.7</f>
        <v>19.399999999999999</v>
      </c>
      <c r="N8" s="29">
        <f>2.8+2.8+2.8+3.9+3.6+3.7</f>
        <v>19.599999999999998</v>
      </c>
      <c r="O8" s="29">
        <f>M8+N8</f>
        <v>39</v>
      </c>
      <c r="P8" s="31">
        <v>18</v>
      </c>
      <c r="Q8" s="32">
        <f>H8+L8+P8</f>
        <v>44</v>
      </c>
    </row>
    <row r="9" spans="1:17" x14ac:dyDescent="0.25">
      <c r="A9" s="28">
        <v>4</v>
      </c>
      <c r="B9" s="28" t="s">
        <v>268</v>
      </c>
      <c r="C9" s="28" t="s">
        <v>29</v>
      </c>
      <c r="D9" s="29">
        <v>22.8</v>
      </c>
      <c r="E9" s="29">
        <v>21.1</v>
      </c>
      <c r="F9" s="29">
        <v>21.4</v>
      </c>
      <c r="G9" s="29">
        <f>SUM(D9:F9)</f>
        <v>65.300000000000011</v>
      </c>
      <c r="H9" s="31">
        <v>23</v>
      </c>
      <c r="I9" s="29">
        <f>3.1+3.1+3+4+4+3.9</f>
        <v>21.099999999999998</v>
      </c>
      <c r="J9" s="29">
        <f>2.4+2.5+2.5+3.4+3.5+3.6</f>
        <v>17.900000000000002</v>
      </c>
      <c r="K9" s="29">
        <f>SUM(I9:J9)</f>
        <v>39</v>
      </c>
      <c r="L9" s="31">
        <v>3</v>
      </c>
      <c r="M9" s="29">
        <f>2.5+2.4+2.5+3.5+3.5+3.5</f>
        <v>17.899999999999999</v>
      </c>
      <c r="N9" s="29">
        <f>2.6+2.7+2.7+3.7+3.6+3.4</f>
        <v>18.7</v>
      </c>
      <c r="O9" s="29">
        <f>M9+N9</f>
        <v>36.599999999999994</v>
      </c>
      <c r="P9" s="31">
        <v>3</v>
      </c>
      <c r="Q9" s="32">
        <f>H9+L9+P9</f>
        <v>29</v>
      </c>
    </row>
    <row r="10" spans="1:17" x14ac:dyDescent="0.25">
      <c r="A10" s="28">
        <v>5</v>
      </c>
      <c r="B10" s="37" t="s">
        <v>748</v>
      </c>
      <c r="C10" s="28" t="s">
        <v>9</v>
      </c>
      <c r="D10" s="29">
        <v>22.3</v>
      </c>
      <c r="E10" s="29">
        <v>20.3</v>
      </c>
      <c r="F10" s="29">
        <v>19.5</v>
      </c>
      <c r="G10" s="29">
        <f>SUM(D10:F10)</f>
        <v>62.1</v>
      </c>
      <c r="H10" s="31">
        <v>3</v>
      </c>
      <c r="I10" s="29">
        <f>3.2+3+3+4.1+4+3.9</f>
        <v>21.199999999999996</v>
      </c>
      <c r="J10" s="29">
        <f>2.7+2.6+2.7+3.7+3.6+3.6</f>
        <v>18.899999999999999</v>
      </c>
      <c r="K10" s="29">
        <f>SUM(I10:J10)</f>
        <v>40.099999999999994</v>
      </c>
      <c r="L10" s="31">
        <v>13</v>
      </c>
      <c r="M10" s="29">
        <f>2.6+2.6+2.7+3.6+3.6+3.7</f>
        <v>18.8</v>
      </c>
      <c r="N10" s="29">
        <f>2.8+2.8+2.8+3.8+3.7+3.7</f>
        <v>19.599999999999998</v>
      </c>
      <c r="O10" s="29">
        <f>M10+N10</f>
        <v>38.4</v>
      </c>
      <c r="P10" s="31">
        <v>3</v>
      </c>
      <c r="Q10" s="32">
        <f>H10+L10+P10</f>
        <v>19</v>
      </c>
    </row>
    <row r="11" spans="1:17" x14ac:dyDescent="0.25">
      <c r="A11" s="28">
        <v>7</v>
      </c>
      <c r="B11" s="28" t="s">
        <v>273</v>
      </c>
      <c r="C11" s="28" t="s">
        <v>26</v>
      </c>
      <c r="D11" s="29">
        <v>21.5</v>
      </c>
      <c r="E11" s="29">
        <v>20.8</v>
      </c>
      <c r="F11" s="29">
        <v>20.5</v>
      </c>
      <c r="G11" s="29">
        <f>SUM(D11:F11)</f>
        <v>62.8</v>
      </c>
      <c r="H11" s="31">
        <v>13</v>
      </c>
      <c r="I11" s="29">
        <f>2.9+2.9+2.8+3.9+4.2+4</f>
        <v>20.7</v>
      </c>
      <c r="J11" s="29">
        <f>2.6+2.6+2.6+3.7+3.6+3.7</f>
        <v>18.8</v>
      </c>
      <c r="K11" s="29">
        <f>SUM(I11:J11)</f>
        <v>39.5</v>
      </c>
      <c r="L11" s="31">
        <v>3</v>
      </c>
      <c r="M11" s="29">
        <f>2.5+2.6+2.5+3.6+3.7+3.6</f>
        <v>18.5</v>
      </c>
      <c r="N11" s="29">
        <f>2.9+2.7+2.7+3.9+3.6+3.7</f>
        <v>19.5</v>
      </c>
      <c r="O11" s="29">
        <f>M11+N11</f>
        <v>38</v>
      </c>
      <c r="P11" s="31">
        <v>3</v>
      </c>
      <c r="Q11" s="32">
        <f>H11+L11+P11</f>
        <v>19</v>
      </c>
    </row>
    <row r="12" spans="1:17" x14ac:dyDescent="0.25">
      <c r="A12" s="28">
        <v>8</v>
      </c>
      <c r="B12" s="28" t="s">
        <v>615</v>
      </c>
      <c r="C12" s="28" t="s">
        <v>82</v>
      </c>
      <c r="D12" s="29"/>
      <c r="E12" s="29"/>
      <c r="F12" s="29"/>
      <c r="G12" s="29"/>
      <c r="H12" s="31"/>
      <c r="I12" s="29">
        <f>2.6+2.6+2.6+3.6+3.5+3.5</f>
        <v>18.399999999999999</v>
      </c>
      <c r="J12" s="29">
        <f>2.6+2.7+2.7+4.4+4.2+4.3</f>
        <v>20.900000000000002</v>
      </c>
      <c r="K12" s="29">
        <f>SUM(I12:J12)</f>
        <v>39.299999999999997</v>
      </c>
      <c r="L12" s="31">
        <v>3</v>
      </c>
      <c r="M12" s="29">
        <f>2.6+2.6+2.6+3.6+3.6+3.6</f>
        <v>18.600000000000001</v>
      </c>
      <c r="N12" s="29">
        <f>2.8+2.6+2.7+3.9+3.9+3.9</f>
        <v>19.8</v>
      </c>
      <c r="O12" s="29">
        <f>M12+N12</f>
        <v>38.400000000000006</v>
      </c>
      <c r="P12" s="31">
        <v>13</v>
      </c>
      <c r="Q12" s="32">
        <f>H12+L12+P12</f>
        <v>16</v>
      </c>
    </row>
    <row r="13" spans="1:17" x14ac:dyDescent="0.25">
      <c r="A13" s="28">
        <v>9</v>
      </c>
      <c r="B13" s="28" t="s">
        <v>754</v>
      </c>
      <c r="C13" s="28" t="s">
        <v>5</v>
      </c>
      <c r="D13" s="29">
        <v>20.8</v>
      </c>
      <c r="E13" s="29">
        <v>23.2</v>
      </c>
      <c r="F13" s="29">
        <v>18.3</v>
      </c>
      <c r="G13" s="29">
        <f>SUM(D13:F13)</f>
        <v>62.3</v>
      </c>
      <c r="H13" s="31">
        <v>3</v>
      </c>
      <c r="I13" s="29">
        <f>3+3+3+4.1+4+4.2</f>
        <v>21.3</v>
      </c>
      <c r="J13" s="29">
        <f>2.5+2.5+2.5+3.7+3.6+3.5</f>
        <v>18.299999999999997</v>
      </c>
      <c r="K13" s="29">
        <f>SUM(I13:J13)</f>
        <v>39.599999999999994</v>
      </c>
      <c r="L13" s="31">
        <v>3</v>
      </c>
      <c r="M13" s="29">
        <f>2.6+2.6+2.7+3.6+3.6+3.6</f>
        <v>18.7</v>
      </c>
      <c r="N13" s="29">
        <f>2.6+2.6+2.8+3.7+3.7+3.7</f>
        <v>19.099999999999998</v>
      </c>
      <c r="O13" s="29">
        <f>M13+N13</f>
        <v>37.799999999999997</v>
      </c>
      <c r="P13" s="31">
        <v>3</v>
      </c>
      <c r="Q13" s="32">
        <f>H13+L13+P13</f>
        <v>9</v>
      </c>
    </row>
    <row r="14" spans="1:17" x14ac:dyDescent="0.25">
      <c r="A14" s="28">
        <v>10</v>
      </c>
      <c r="B14" s="28" t="s">
        <v>272</v>
      </c>
      <c r="C14" s="28" t="s">
        <v>15</v>
      </c>
      <c r="D14" s="29">
        <v>21.1</v>
      </c>
      <c r="E14" s="29">
        <v>21.4</v>
      </c>
      <c r="F14" s="29">
        <v>19.3</v>
      </c>
      <c r="G14" s="29">
        <f>SUM(D14:F14)</f>
        <v>61.8</v>
      </c>
      <c r="H14" s="31">
        <v>3</v>
      </c>
      <c r="I14" s="29">
        <f>2.9+3+2.9+3.9+3.9+3.9</f>
        <v>20.5</v>
      </c>
      <c r="J14" s="29">
        <f>2.5+2.4+2.7+3.6+3.5+3.6</f>
        <v>18.3</v>
      </c>
      <c r="K14" s="29">
        <f>SUM(I14:J14)</f>
        <v>38.799999999999997</v>
      </c>
      <c r="L14" s="31">
        <v>3</v>
      </c>
      <c r="M14" s="29">
        <f>2.5+2.5+2.5+3.5+3.5+3.5</f>
        <v>18</v>
      </c>
      <c r="N14" s="29">
        <f>2.7+2.6+2.5+3.7+3.5+3.5</f>
        <v>18.5</v>
      </c>
      <c r="O14" s="29">
        <f>M14+N14</f>
        <v>36.5</v>
      </c>
      <c r="P14" s="31">
        <v>3</v>
      </c>
      <c r="Q14" s="32">
        <f>H14+L14+P14</f>
        <v>9</v>
      </c>
    </row>
    <row r="15" spans="1:17" x14ac:dyDescent="0.25">
      <c r="A15" s="28">
        <v>11</v>
      </c>
      <c r="B15" s="28" t="s">
        <v>277</v>
      </c>
      <c r="C15" s="28" t="s">
        <v>5</v>
      </c>
      <c r="D15" s="29">
        <v>22.6</v>
      </c>
      <c r="E15" s="29">
        <v>20.399999999999999</v>
      </c>
      <c r="F15" s="29">
        <v>19</v>
      </c>
      <c r="G15" s="29">
        <f>SUM(D15:F15)</f>
        <v>62</v>
      </c>
      <c r="H15" s="31">
        <v>3</v>
      </c>
      <c r="I15" s="29">
        <f>3.1+3.1+2.9+4+4+4</f>
        <v>21.1</v>
      </c>
      <c r="J15" s="29">
        <f>2.7+2.6+2.6+3.8+3.6</f>
        <v>15.299999999999999</v>
      </c>
      <c r="K15" s="29">
        <f>SUM(I15:J15)</f>
        <v>36.4</v>
      </c>
      <c r="L15" s="31">
        <v>3</v>
      </c>
      <c r="M15" s="29">
        <f>2.5+2.6+2.6+3.5+3.6+3.6</f>
        <v>18.399999999999999</v>
      </c>
      <c r="N15" s="29">
        <f>2.7+2.7+2.8+3.8+3.8+3.9</f>
        <v>19.7</v>
      </c>
      <c r="O15" s="29">
        <f>M15+N15</f>
        <v>38.099999999999994</v>
      </c>
      <c r="P15" s="31">
        <v>3</v>
      </c>
      <c r="Q15" s="32">
        <f>H15+L15+P15</f>
        <v>9</v>
      </c>
    </row>
    <row r="16" spans="1:17" x14ac:dyDescent="0.25">
      <c r="A16" s="28">
        <v>13</v>
      </c>
      <c r="B16" s="28" t="s">
        <v>617</v>
      </c>
      <c r="C16" s="28" t="s">
        <v>444</v>
      </c>
      <c r="D16" s="29"/>
      <c r="E16" s="29"/>
      <c r="F16" s="29"/>
      <c r="G16" s="29"/>
      <c r="H16" s="31"/>
      <c r="I16" s="29">
        <f>2.7+3.1+2.9+3.7+4+3.9</f>
        <v>20.3</v>
      </c>
      <c r="J16" s="29">
        <f>2.5+2.4+2.4+3.6+3.5+3.4</f>
        <v>17.8</v>
      </c>
      <c r="K16" s="29">
        <f>SUM(I16:J16)</f>
        <v>38.1</v>
      </c>
      <c r="L16" s="31">
        <v>3</v>
      </c>
      <c r="M16" s="29">
        <f>2.6+2.5+2.2+3.6+3.5+3.2</f>
        <v>17.600000000000001</v>
      </c>
      <c r="N16" s="29">
        <f>2.5+2.5+2.6+3.6+3.5+3.4</f>
        <v>18.099999999999998</v>
      </c>
      <c r="O16" s="29">
        <f>M16+N16</f>
        <v>35.700000000000003</v>
      </c>
      <c r="P16" s="31">
        <v>3</v>
      </c>
      <c r="Q16" s="32">
        <f>H16+L16+P16</f>
        <v>6</v>
      </c>
    </row>
    <row r="17" spans="1:17" x14ac:dyDescent="0.25">
      <c r="A17" s="28">
        <v>14</v>
      </c>
      <c r="B17" s="28" t="s">
        <v>753</v>
      </c>
      <c r="C17" s="28" t="s">
        <v>397</v>
      </c>
      <c r="D17" s="29"/>
      <c r="E17" s="29"/>
      <c r="F17" s="29"/>
      <c r="G17" s="29"/>
      <c r="H17" s="31"/>
      <c r="I17" s="29">
        <f>2.8+2.9+2.8+3.9+3.8+3.8</f>
        <v>20</v>
      </c>
      <c r="J17" s="29">
        <f>2.5+2.4+2.4+3.3+3.3+3.4</f>
        <v>17.3</v>
      </c>
      <c r="K17" s="29">
        <f>SUM(I17:J17)</f>
        <v>37.299999999999997</v>
      </c>
      <c r="L17" s="31">
        <v>3</v>
      </c>
      <c r="M17" s="29">
        <f>2.5+2.5+2.5+3.6+3.6+3.5</f>
        <v>18.2</v>
      </c>
      <c r="N17" s="29">
        <f>2.6+2.4+2.5+3.7+3.6+3.5</f>
        <v>18.299999999999997</v>
      </c>
      <c r="O17" s="29">
        <f>M17+N17</f>
        <v>36.5</v>
      </c>
      <c r="P17" s="31">
        <v>3</v>
      </c>
      <c r="Q17" s="32">
        <f>H17+L17+P17</f>
        <v>6</v>
      </c>
    </row>
    <row r="18" spans="1:17" x14ac:dyDescent="0.25">
      <c r="A18" s="28">
        <v>15</v>
      </c>
      <c r="B18" s="28" t="s">
        <v>614</v>
      </c>
      <c r="C18" s="28" t="s">
        <v>82</v>
      </c>
      <c r="D18" s="29"/>
      <c r="E18" s="29"/>
      <c r="F18" s="29"/>
      <c r="G18" s="29"/>
      <c r="H18" s="31"/>
      <c r="I18" s="29">
        <f>2.5+2.5+2.6+3.4+3.3+3.5</f>
        <v>17.8</v>
      </c>
      <c r="J18" s="29">
        <f>2.5+2.5+2.6+3.9+4+4</f>
        <v>19.5</v>
      </c>
      <c r="K18" s="29">
        <f>SUM(I18:J18)</f>
        <v>37.299999999999997</v>
      </c>
      <c r="L18" s="31">
        <v>3</v>
      </c>
      <c r="M18" s="29">
        <f>2.5+2.5+2.5+3.5+3.5+3.6</f>
        <v>18.100000000000001</v>
      </c>
      <c r="N18" s="29">
        <f>2.3+2.3+2.3+3.4+3.3+3.5</f>
        <v>17.099999999999998</v>
      </c>
      <c r="O18" s="29">
        <f>M18+N18</f>
        <v>35.200000000000003</v>
      </c>
      <c r="P18" s="31">
        <v>3</v>
      </c>
      <c r="Q18" s="32">
        <f>H18+L18+P18</f>
        <v>6</v>
      </c>
    </row>
    <row r="19" spans="1:17" x14ac:dyDescent="0.25">
      <c r="A19" s="28">
        <v>16</v>
      </c>
      <c r="B19" s="28" t="s">
        <v>747</v>
      </c>
      <c r="C19" s="28" t="s">
        <v>15</v>
      </c>
      <c r="D19" s="29">
        <v>21.5</v>
      </c>
      <c r="E19" s="29">
        <v>20.6</v>
      </c>
      <c r="F19" s="29">
        <v>17.7</v>
      </c>
      <c r="G19" s="29">
        <f>SUM(D19:F19)</f>
        <v>59.8</v>
      </c>
      <c r="H19" s="31">
        <v>3</v>
      </c>
      <c r="I19" s="29">
        <f>2.8+3+2.9+3.7+3.8+3.8</f>
        <v>20</v>
      </c>
      <c r="J19" s="29">
        <f>2.5+2.3+2.2+3.5+3.3+3.2</f>
        <v>17</v>
      </c>
      <c r="K19" s="29">
        <f>SUM(I19:J19)</f>
        <v>37</v>
      </c>
      <c r="L19" s="31">
        <v>3</v>
      </c>
      <c r="M19" s="29"/>
      <c r="N19" s="29"/>
      <c r="O19" s="29"/>
      <c r="P19" s="31"/>
      <c r="Q19" s="32">
        <f>H19+L19+P19</f>
        <v>6</v>
      </c>
    </row>
    <row r="20" spans="1:17" x14ac:dyDescent="0.25">
      <c r="A20" s="28">
        <v>17</v>
      </c>
      <c r="B20" s="37" t="s">
        <v>621</v>
      </c>
      <c r="C20" s="28" t="s">
        <v>15</v>
      </c>
      <c r="D20" s="29">
        <v>19.100000000000001</v>
      </c>
      <c r="E20" s="29">
        <v>19.3</v>
      </c>
      <c r="F20" s="29">
        <v>18.5</v>
      </c>
      <c r="G20" s="29">
        <f>SUM(D20:F20)</f>
        <v>56.900000000000006</v>
      </c>
      <c r="H20" s="31">
        <v>3</v>
      </c>
      <c r="I20" s="29">
        <f>2.7+2.8+2.8+3.8+3.8+3.8</f>
        <v>19.700000000000003</v>
      </c>
      <c r="J20" s="29">
        <f>2.3+2.4+2.4+3.4+3.4+3.4</f>
        <v>17.3</v>
      </c>
      <c r="K20" s="29">
        <f>SUM(I20:J20)</f>
        <v>37</v>
      </c>
      <c r="L20" s="31">
        <v>3</v>
      </c>
      <c r="M20" s="29"/>
      <c r="N20" s="29"/>
      <c r="O20" s="29"/>
      <c r="P20" s="31"/>
      <c r="Q20" s="32">
        <f>H20+L20+P20</f>
        <v>6</v>
      </c>
    </row>
    <row r="21" spans="1:17" x14ac:dyDescent="0.25">
      <c r="A21" s="28">
        <v>18</v>
      </c>
      <c r="B21" s="28" t="s">
        <v>619</v>
      </c>
      <c r="C21" s="28" t="s">
        <v>397</v>
      </c>
      <c r="D21" s="29"/>
      <c r="E21" s="29"/>
      <c r="F21" s="29"/>
      <c r="G21" s="29"/>
      <c r="H21" s="31"/>
      <c r="I21" s="29">
        <f>2.7+2.7+2.7+3.7+3.8+3.7</f>
        <v>19.3</v>
      </c>
      <c r="J21" s="29">
        <f>2.3+2.3+2.3+3.4+3.3+3.3</f>
        <v>16.899999999999999</v>
      </c>
      <c r="K21" s="29">
        <f>SUM(I21:J21)</f>
        <v>36.200000000000003</v>
      </c>
      <c r="L21" s="31">
        <v>3</v>
      </c>
      <c r="M21" s="29">
        <f>2.4+2.4+2.4+3.4+3.5+3.5</f>
        <v>17.600000000000001</v>
      </c>
      <c r="N21" s="29">
        <f>2.3+2.1+2.3+3.3+3.2+3.3</f>
        <v>16.5</v>
      </c>
      <c r="O21" s="29">
        <f>M21+N21</f>
        <v>34.1</v>
      </c>
      <c r="P21" s="31">
        <v>3</v>
      </c>
      <c r="Q21" s="32">
        <f>H21+L21+P21</f>
        <v>6</v>
      </c>
    </row>
    <row r="22" spans="1:17" x14ac:dyDescent="0.25">
      <c r="A22" s="28">
        <v>19</v>
      </c>
      <c r="B22" s="28" t="s">
        <v>270</v>
      </c>
      <c r="C22" s="28" t="s">
        <v>29</v>
      </c>
      <c r="D22" s="29">
        <v>20.8</v>
      </c>
      <c r="E22" s="29">
        <v>18.8</v>
      </c>
      <c r="F22" s="29">
        <v>18.600000000000001</v>
      </c>
      <c r="G22" s="29">
        <f>SUM(D22:F22)</f>
        <v>58.2</v>
      </c>
      <c r="H22" s="31">
        <v>3</v>
      </c>
      <c r="I22" s="29">
        <f>2.5+2.4+2.5+3.5+3.5+3.6</f>
        <v>18</v>
      </c>
      <c r="J22" s="29">
        <f>2.4+2.3+2.3+3.4+3.4+3.4</f>
        <v>17.2</v>
      </c>
      <c r="K22" s="29">
        <f>SUM(I22:J22)</f>
        <v>35.200000000000003</v>
      </c>
      <c r="L22" s="31">
        <v>3</v>
      </c>
      <c r="M22" s="29"/>
      <c r="N22" s="29"/>
      <c r="O22" s="29"/>
      <c r="P22" s="31"/>
      <c r="Q22" s="32">
        <f>H22+L22+P22</f>
        <v>6</v>
      </c>
    </row>
    <row r="23" spans="1:17" x14ac:dyDescent="0.25">
      <c r="A23" s="28">
        <v>20</v>
      </c>
      <c r="B23" s="28" t="s">
        <v>618</v>
      </c>
      <c r="C23" s="28" t="s">
        <v>82</v>
      </c>
      <c r="D23" s="29"/>
      <c r="E23" s="29"/>
      <c r="F23" s="29"/>
      <c r="G23" s="29"/>
      <c r="H23" s="31"/>
      <c r="I23" s="29">
        <f>2.6+2.5+2.6+3.5+3.5+3.6</f>
        <v>18.3</v>
      </c>
      <c r="J23" s="29">
        <f>2.6+2.3+2.6+3.8+4.2+4.1</f>
        <v>19.600000000000001</v>
      </c>
      <c r="K23" s="29">
        <f>SUM(I23:J23)</f>
        <v>37.900000000000006</v>
      </c>
      <c r="L23" s="31">
        <v>3</v>
      </c>
      <c r="M23" s="29"/>
      <c r="N23" s="29"/>
      <c r="O23" s="29"/>
      <c r="P23" s="31"/>
      <c r="Q23" s="32">
        <f>H23+L23+P23</f>
        <v>3</v>
      </c>
    </row>
    <row r="24" spans="1:17" x14ac:dyDescent="0.25">
      <c r="A24" s="28">
        <v>21</v>
      </c>
      <c r="B24" s="28" t="s">
        <v>613</v>
      </c>
      <c r="C24" s="28" t="s">
        <v>67</v>
      </c>
      <c r="D24" s="29"/>
      <c r="E24" s="29"/>
      <c r="F24" s="29"/>
      <c r="G24" s="29"/>
      <c r="H24" s="31"/>
      <c r="I24" s="29">
        <f>3+2.7+2.9+3.9+3.8+3.9</f>
        <v>20.2</v>
      </c>
      <c r="J24" s="29">
        <f>2.5+2.4+2.3+3.6+3.5+3.4</f>
        <v>17.7</v>
      </c>
      <c r="K24" s="29">
        <f>SUM(I24:J24)</f>
        <v>37.9</v>
      </c>
      <c r="L24" s="31">
        <v>3</v>
      </c>
      <c r="M24" s="29"/>
      <c r="N24" s="29"/>
      <c r="O24" s="29"/>
      <c r="P24" s="31"/>
      <c r="Q24" s="32">
        <f>H24+L24+P24</f>
        <v>3</v>
      </c>
    </row>
    <row r="25" spans="1:17" x14ac:dyDescent="0.25">
      <c r="A25" s="28">
        <v>22</v>
      </c>
      <c r="B25" s="28" t="s">
        <v>749</v>
      </c>
      <c r="C25" s="28" t="s">
        <v>95</v>
      </c>
      <c r="D25" s="29"/>
      <c r="E25" s="29"/>
      <c r="F25" s="29"/>
      <c r="G25" s="29"/>
      <c r="H25" s="31"/>
      <c r="I25" s="29"/>
      <c r="J25" s="29"/>
      <c r="K25" s="29"/>
      <c r="L25" s="31"/>
      <c r="M25" s="29">
        <f>2.6+2.6+2.6+3.5+3.6+3.6</f>
        <v>18.5</v>
      </c>
      <c r="N25" s="29">
        <f>2.6+2.6+2.8+3.6+3.7+3.7</f>
        <v>19</v>
      </c>
      <c r="O25" s="29">
        <f>M25+N25</f>
        <v>37.5</v>
      </c>
      <c r="P25" s="31">
        <v>3</v>
      </c>
      <c r="Q25" s="32">
        <f>H25+L25+P25</f>
        <v>3</v>
      </c>
    </row>
    <row r="26" spans="1:17" x14ac:dyDescent="0.25">
      <c r="A26" s="28">
        <v>23</v>
      </c>
      <c r="B26" s="28" t="s">
        <v>784</v>
      </c>
      <c r="C26" s="28" t="s">
        <v>444</v>
      </c>
      <c r="D26" s="29"/>
      <c r="E26" s="29"/>
      <c r="F26" s="29"/>
      <c r="G26" s="29"/>
      <c r="H26" s="31"/>
      <c r="I26" s="29"/>
      <c r="J26" s="29"/>
      <c r="K26" s="29"/>
      <c r="L26" s="31"/>
      <c r="M26" s="29">
        <f>2.4+2.4+2.4+3.5+3.5+3.5</f>
        <v>17.7</v>
      </c>
      <c r="N26" s="29">
        <f>2.4+2.4+2.4+3.5+3.5+3.5</f>
        <v>17.7</v>
      </c>
      <c r="O26" s="29">
        <f>M26+N26</f>
        <v>35.4</v>
      </c>
      <c r="P26" s="31">
        <v>3</v>
      </c>
      <c r="Q26" s="32">
        <f>H26+L26+P26</f>
        <v>3</v>
      </c>
    </row>
    <row r="27" spans="1:17" x14ac:dyDescent="0.25">
      <c r="A27" s="28">
        <v>24</v>
      </c>
      <c r="B27" s="28" t="s">
        <v>752</v>
      </c>
      <c r="C27" s="28" t="s">
        <v>444</v>
      </c>
      <c r="D27" s="29"/>
      <c r="E27" s="29"/>
      <c r="F27" s="29"/>
      <c r="G27" s="29"/>
      <c r="H27" s="31"/>
      <c r="I27" s="29"/>
      <c r="J27" s="29"/>
      <c r="K27" s="29"/>
      <c r="L27" s="31"/>
      <c r="M27" s="29">
        <f>2.5+2.5+2.5+3.4+3.4+3.4</f>
        <v>17.7</v>
      </c>
      <c r="N27" s="29">
        <f>2.2+2.4+2.4+3.4+3.5+3.7</f>
        <v>17.600000000000001</v>
      </c>
      <c r="O27" s="29">
        <f>M27+N27</f>
        <v>35.299999999999997</v>
      </c>
      <c r="P27" s="31">
        <v>3</v>
      </c>
      <c r="Q27" s="32">
        <f>H27+L27+P27</f>
        <v>3</v>
      </c>
    </row>
    <row r="28" spans="1:17" x14ac:dyDescent="0.25">
      <c r="A28" s="28">
        <v>25</v>
      </c>
      <c r="B28" s="28" t="s">
        <v>750</v>
      </c>
      <c r="C28" s="28" t="s">
        <v>704</v>
      </c>
      <c r="D28" s="29"/>
      <c r="E28" s="29"/>
      <c r="F28" s="29"/>
      <c r="G28" s="29"/>
      <c r="H28" s="31"/>
      <c r="I28" s="29"/>
      <c r="J28" s="29"/>
      <c r="K28" s="29"/>
      <c r="L28" s="31"/>
      <c r="M28" s="29">
        <f>2.4+2.4+2.4+3.5+3.5+3.4</f>
        <v>17.599999999999998</v>
      </c>
      <c r="N28" s="29">
        <f>2.4+2.3+2.3+3.6+3.5+3.5</f>
        <v>17.600000000000001</v>
      </c>
      <c r="O28" s="29">
        <f>M28+N28</f>
        <v>35.200000000000003</v>
      </c>
      <c r="P28" s="31">
        <v>3</v>
      </c>
      <c r="Q28" s="32">
        <f>H28+L28+P28</f>
        <v>3</v>
      </c>
    </row>
    <row r="29" spans="1:17" x14ac:dyDescent="0.25">
      <c r="A29" s="28">
        <v>26</v>
      </c>
      <c r="B29" s="28" t="s">
        <v>751</v>
      </c>
      <c r="C29" s="28" t="s">
        <v>444</v>
      </c>
      <c r="D29" s="29"/>
      <c r="E29" s="29"/>
      <c r="F29" s="29"/>
      <c r="G29" s="29"/>
      <c r="H29" s="31"/>
      <c r="I29" s="29"/>
      <c r="J29" s="29" t="s">
        <v>651</v>
      </c>
      <c r="K29" s="29"/>
      <c r="L29" s="31"/>
      <c r="M29" s="29">
        <f>2.4+2.4+2.5+3.5+3.5+3.5</f>
        <v>17.8</v>
      </c>
      <c r="N29" s="29">
        <f>2.3+2.2+2.2+3.2+3.4+3.5</f>
        <v>16.8</v>
      </c>
      <c r="O29" s="29">
        <f>M29+N29</f>
        <v>34.6</v>
      </c>
      <c r="P29" s="31">
        <v>3</v>
      </c>
      <c r="Q29" s="32">
        <f>H29+L29+P29</f>
        <v>3</v>
      </c>
    </row>
    <row r="30" spans="1:17" x14ac:dyDescent="0.25">
      <c r="A30" s="28">
        <v>27</v>
      </c>
      <c r="B30" s="28" t="s">
        <v>269</v>
      </c>
      <c r="C30" s="28" t="s">
        <v>29</v>
      </c>
      <c r="D30" s="29">
        <v>21.2</v>
      </c>
      <c r="E30" s="29">
        <v>20.8</v>
      </c>
      <c r="F30" s="29">
        <v>18.2</v>
      </c>
      <c r="G30" s="29">
        <f>SUM(D30:F30)</f>
        <v>60.2</v>
      </c>
      <c r="H30" s="31">
        <v>3</v>
      </c>
      <c r="I30" s="29"/>
      <c r="J30" s="29"/>
      <c r="K30" s="29"/>
      <c r="L30" s="31"/>
      <c r="M30" s="29"/>
      <c r="N30" s="29"/>
      <c r="O30" s="29"/>
      <c r="P30" s="31"/>
      <c r="Q30" s="32">
        <f>H30+L30+P30</f>
        <v>3</v>
      </c>
    </row>
    <row r="31" spans="1:17" x14ac:dyDescent="0.25">
      <c r="A31" s="28">
        <v>28</v>
      </c>
      <c r="B31" s="28" t="s">
        <v>276</v>
      </c>
      <c r="C31" s="28" t="s">
        <v>7</v>
      </c>
      <c r="D31" s="29">
        <v>20.399999999999999</v>
      </c>
      <c r="E31" s="29">
        <v>18.899999999999999</v>
      </c>
      <c r="F31" s="29">
        <v>17.600000000000001</v>
      </c>
      <c r="G31" s="29">
        <f>SUM(D31:F31)</f>
        <v>56.9</v>
      </c>
      <c r="H31" s="31">
        <v>3</v>
      </c>
      <c r="I31" s="29"/>
      <c r="J31" s="29"/>
      <c r="K31" s="29"/>
      <c r="L31" s="31"/>
      <c r="M31" s="29"/>
      <c r="N31" s="29"/>
      <c r="O31" s="29"/>
      <c r="P31" s="31"/>
      <c r="Q31" s="32">
        <f>H31+L31+P31</f>
        <v>3</v>
      </c>
    </row>
    <row r="32" spans="1:17" x14ac:dyDescent="0.25">
      <c r="A32" s="28">
        <v>29</v>
      </c>
      <c r="B32" s="28" t="s">
        <v>271</v>
      </c>
      <c r="C32" s="28" t="s">
        <v>29</v>
      </c>
      <c r="D32" s="29">
        <v>20.5</v>
      </c>
      <c r="E32" s="29">
        <v>17.7</v>
      </c>
      <c r="F32" s="29">
        <v>18.5</v>
      </c>
      <c r="G32" s="29">
        <f>SUM(D32:F32)</f>
        <v>56.7</v>
      </c>
      <c r="H32" s="31">
        <v>3</v>
      </c>
      <c r="I32" s="29"/>
      <c r="J32" s="29"/>
      <c r="K32" s="29"/>
      <c r="L32" s="31"/>
      <c r="M32" s="29"/>
      <c r="N32" s="29"/>
      <c r="O32" s="29"/>
      <c r="P32" s="31"/>
      <c r="Q32" s="32">
        <f>H32+L32+P32</f>
        <v>3</v>
      </c>
    </row>
    <row r="33" spans="1:17" x14ac:dyDescent="0.25">
      <c r="A33" s="28">
        <v>30</v>
      </c>
      <c r="B33" s="28" t="s">
        <v>616</v>
      </c>
      <c r="C33" s="28" t="s">
        <v>9</v>
      </c>
      <c r="D33" s="29"/>
      <c r="E33" s="29"/>
      <c r="F33" s="29"/>
      <c r="G33" s="29"/>
      <c r="H33" s="31"/>
      <c r="I33" s="29"/>
      <c r="J33" s="29"/>
      <c r="K33" s="29"/>
      <c r="L33" s="31"/>
      <c r="M33" s="29"/>
      <c r="N33" s="29"/>
      <c r="O33" s="29"/>
      <c r="P33" s="31"/>
      <c r="Q33" s="32">
        <f>H33+L33+P33</f>
        <v>0</v>
      </c>
    </row>
    <row r="34" spans="1:17" x14ac:dyDescent="0.25">
      <c r="A34" s="28">
        <v>31</v>
      </c>
      <c r="B34" s="28" t="s">
        <v>620</v>
      </c>
      <c r="C34" s="28" t="s">
        <v>5</v>
      </c>
      <c r="D34" s="29"/>
      <c r="E34" s="29"/>
      <c r="F34" s="29"/>
      <c r="G34" s="29"/>
      <c r="H34" s="31"/>
      <c r="I34" s="29"/>
      <c r="J34" s="29"/>
      <c r="K34" s="29"/>
      <c r="L34" s="31"/>
      <c r="M34" s="29"/>
      <c r="N34" s="29"/>
      <c r="O34" s="29"/>
      <c r="P34" s="31"/>
      <c r="Q34" s="32">
        <f>H34+L34+P34</f>
        <v>0</v>
      </c>
    </row>
  </sheetData>
  <sortState ref="B6:Q34">
    <sortCondition descending="1" ref="Q6:Q34"/>
  </sortState>
  <mergeCells count="1">
    <mergeCell ref="A1:G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D1" zoomScaleNormal="100" workbookViewId="0">
      <selection activeCell="A11" sqref="A11:XFD11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85546875" customWidth="1"/>
    <col min="5" max="5" width="6.140625" customWidth="1"/>
    <col min="6" max="6" width="6.42578125" customWidth="1"/>
    <col min="7" max="7" width="11.85546875" bestFit="1" customWidth="1"/>
    <col min="8" max="8" width="18" customWidth="1"/>
    <col min="9" max="9" width="7.140625" customWidth="1"/>
    <col min="10" max="10" width="6.85546875" customWidth="1"/>
    <col min="12" max="12" width="19" customWidth="1"/>
    <col min="13" max="13" width="8" customWidth="1"/>
    <col min="14" max="14" width="7.5703125" customWidth="1"/>
    <col min="16" max="16" width="20.5703125" customWidth="1"/>
    <col min="17" max="17" width="23.855468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267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262</v>
      </c>
      <c r="C6" s="28" t="s">
        <v>9</v>
      </c>
      <c r="D6" s="29">
        <v>21.6</v>
      </c>
      <c r="E6" s="29">
        <v>18.7</v>
      </c>
      <c r="F6" s="29">
        <v>23.1</v>
      </c>
      <c r="G6" s="29">
        <f>SUM(D6:F6)</f>
        <v>63.4</v>
      </c>
      <c r="H6" s="31">
        <v>18</v>
      </c>
      <c r="I6" s="29">
        <f>2.8+2.9+2.8+3.4+3.8+3.7</f>
        <v>19.399999999999999</v>
      </c>
      <c r="J6" s="29">
        <f>2.9+2.9+2.8+4.5+4.7+4.5</f>
        <v>22.3</v>
      </c>
      <c r="K6" s="29">
        <f>SUM(I6:J6)</f>
        <v>41.7</v>
      </c>
      <c r="L6" s="31">
        <v>23</v>
      </c>
      <c r="M6" s="29">
        <f>2.7+2.6+2.6+3.5+3.7+3.6</f>
        <v>18.700000000000003</v>
      </c>
      <c r="N6" s="29">
        <f>2.6+2.7+2.7+3.7+3.8+3.7</f>
        <v>19.2</v>
      </c>
      <c r="O6" s="29">
        <f>M6+N6</f>
        <v>37.900000000000006</v>
      </c>
      <c r="P6" s="31">
        <v>18</v>
      </c>
      <c r="Q6" s="32">
        <f t="shared" ref="Q6:Q18" si="0">H6+L6+P6</f>
        <v>59</v>
      </c>
    </row>
    <row r="7" spans="1:17" x14ac:dyDescent="0.25">
      <c r="A7" s="28">
        <v>2</v>
      </c>
      <c r="B7" s="28" t="s">
        <v>264</v>
      </c>
      <c r="C7" s="28" t="s">
        <v>57</v>
      </c>
      <c r="D7" s="29">
        <v>21.8</v>
      </c>
      <c r="E7" s="29">
        <v>21.8</v>
      </c>
      <c r="F7" s="29">
        <v>22.8</v>
      </c>
      <c r="G7" s="29">
        <f>SUM(D7:F7)</f>
        <v>66.400000000000006</v>
      </c>
      <c r="H7" s="31">
        <v>23</v>
      </c>
      <c r="I7" s="29"/>
      <c r="J7" s="29"/>
      <c r="K7" s="29"/>
      <c r="L7" s="31"/>
      <c r="M7" s="29">
        <f>2.8+2.7+2.6+3.8+3.8+3.7</f>
        <v>19.399999999999999</v>
      </c>
      <c r="N7" s="29">
        <f>2.8+3.2+2.7+3.8+3.8+3.8</f>
        <v>20.100000000000001</v>
      </c>
      <c r="O7" s="29">
        <f>M7+N7</f>
        <v>39.5</v>
      </c>
      <c r="P7" s="31">
        <v>23</v>
      </c>
      <c r="Q7" s="32">
        <f t="shared" si="0"/>
        <v>46</v>
      </c>
    </row>
    <row r="8" spans="1:17" x14ac:dyDescent="0.25">
      <c r="A8" s="28">
        <v>3</v>
      </c>
      <c r="B8" s="28" t="s">
        <v>263</v>
      </c>
      <c r="C8" s="28" t="s">
        <v>9</v>
      </c>
      <c r="D8" s="29">
        <v>19.399999999999999</v>
      </c>
      <c r="E8" s="29">
        <v>17.600000000000001</v>
      </c>
      <c r="F8" s="29">
        <v>21.9</v>
      </c>
      <c r="G8" s="29">
        <f>SUM(D8:F8)</f>
        <v>58.9</v>
      </c>
      <c r="H8" s="31">
        <v>13</v>
      </c>
      <c r="I8" s="29">
        <f>2.7+2.6+2.7+3.5+3.5+3.5</f>
        <v>18.5</v>
      </c>
      <c r="J8" s="29">
        <f>2.8+2.8+2.8+4+4.6+4.4</f>
        <v>21.4</v>
      </c>
      <c r="K8" s="29">
        <f>SUM(I8:J8)</f>
        <v>39.9</v>
      </c>
      <c r="L8" s="31">
        <v>3</v>
      </c>
      <c r="M8" s="29">
        <f>2.6+2.5+2.5+3.6+3.4+3.4</f>
        <v>18</v>
      </c>
      <c r="N8" s="29">
        <f>2.6+2.6+2.6+3.6+3.6+3.6</f>
        <v>18.600000000000001</v>
      </c>
      <c r="O8" s="29">
        <f>M8+N8</f>
        <v>36.6</v>
      </c>
      <c r="P8" s="31">
        <v>13</v>
      </c>
      <c r="Q8" s="32">
        <f t="shared" si="0"/>
        <v>29</v>
      </c>
    </row>
    <row r="9" spans="1:17" x14ac:dyDescent="0.25">
      <c r="A9" s="28">
        <v>4</v>
      </c>
      <c r="B9" s="28" t="s">
        <v>623</v>
      </c>
      <c r="C9" s="28" t="s">
        <v>397</v>
      </c>
      <c r="D9" s="29"/>
      <c r="E9" s="29"/>
      <c r="F9" s="29"/>
      <c r="G9" s="29"/>
      <c r="H9" s="31"/>
      <c r="I9" s="29">
        <f>2.7+2.7+2.7+3.6+3.7+3.6</f>
        <v>19.000000000000004</v>
      </c>
      <c r="J9" s="29">
        <f>2.8+2.8+2.7+4.5+4.5+4.4</f>
        <v>21.700000000000003</v>
      </c>
      <c r="K9" s="29">
        <f>SUM(I9:J9)</f>
        <v>40.700000000000003</v>
      </c>
      <c r="L9" s="31">
        <v>13</v>
      </c>
      <c r="M9" s="29">
        <f>2.8+2.5+2.4+3.9+3.6+3.6</f>
        <v>18.8</v>
      </c>
      <c r="N9" s="29">
        <f>2.4+2.5+2.6+3.4+3.5+3.7</f>
        <v>18.100000000000001</v>
      </c>
      <c r="O9" s="29">
        <f>M9+N9</f>
        <v>36.900000000000006</v>
      </c>
      <c r="P9" s="31">
        <v>13</v>
      </c>
      <c r="Q9" s="32">
        <f t="shared" si="0"/>
        <v>26</v>
      </c>
    </row>
    <row r="10" spans="1:17" x14ac:dyDescent="0.25">
      <c r="A10" s="28">
        <v>5</v>
      </c>
      <c r="B10" s="28" t="s">
        <v>261</v>
      </c>
      <c r="C10" s="28" t="s">
        <v>9</v>
      </c>
      <c r="D10" s="29">
        <v>19.5</v>
      </c>
      <c r="E10" s="29">
        <v>18.2</v>
      </c>
      <c r="F10" s="29">
        <v>18.399999999999999</v>
      </c>
      <c r="G10" s="29">
        <f>SUM(D10:F10)</f>
        <v>56.1</v>
      </c>
      <c r="H10" s="31">
        <v>3</v>
      </c>
      <c r="I10" s="29">
        <f>2.7+2.8+2.7+3.4+3.7+3.7</f>
        <v>19</v>
      </c>
      <c r="J10" s="29">
        <f>2.8+2.7+2.8+4.3+4.5+4.3</f>
        <v>21.400000000000002</v>
      </c>
      <c r="K10" s="29">
        <f>SUM(I10:J10)</f>
        <v>40.400000000000006</v>
      </c>
      <c r="L10" s="31">
        <v>13</v>
      </c>
      <c r="M10" s="29">
        <f>2.4+2.5+2.5+3.5+3.5+3.5</f>
        <v>17.899999999999999</v>
      </c>
      <c r="N10" s="29">
        <f>2.5+2.6+2.6+3.6+3.6+3.6</f>
        <v>18.5</v>
      </c>
      <c r="O10" s="29">
        <f>M10+N10</f>
        <v>36.4</v>
      </c>
      <c r="P10" s="31">
        <v>3</v>
      </c>
      <c r="Q10" s="32">
        <f t="shared" si="0"/>
        <v>19</v>
      </c>
    </row>
    <row r="11" spans="1:17" x14ac:dyDescent="0.25">
      <c r="A11" s="28">
        <v>7</v>
      </c>
      <c r="B11" s="28" t="s">
        <v>260</v>
      </c>
      <c r="C11" s="28" t="s">
        <v>9</v>
      </c>
      <c r="D11" s="29">
        <v>19.8</v>
      </c>
      <c r="E11" s="29">
        <v>19.399999999999999</v>
      </c>
      <c r="F11" s="29">
        <v>21.5</v>
      </c>
      <c r="G11" s="29">
        <f>SUM(D11:F11)</f>
        <v>60.7</v>
      </c>
      <c r="H11" s="31">
        <v>13</v>
      </c>
      <c r="I11" s="29"/>
      <c r="J11" s="29"/>
      <c r="K11" s="29"/>
      <c r="L11" s="31"/>
      <c r="M11" s="29"/>
      <c r="N11" s="29"/>
      <c r="O11" s="29"/>
      <c r="P11" s="31"/>
      <c r="Q11" s="32">
        <f t="shared" si="0"/>
        <v>13</v>
      </c>
    </row>
    <row r="12" spans="1:17" x14ac:dyDescent="0.25">
      <c r="A12" s="28">
        <v>8</v>
      </c>
      <c r="B12" s="28" t="s">
        <v>649</v>
      </c>
      <c r="C12" s="28" t="s">
        <v>5</v>
      </c>
      <c r="D12" s="29">
        <v>20.6</v>
      </c>
      <c r="E12" s="29">
        <v>18.5</v>
      </c>
      <c r="F12" s="29">
        <v>18</v>
      </c>
      <c r="G12" s="29">
        <f>SUM(D12:F12)</f>
        <v>57.1</v>
      </c>
      <c r="H12" s="31">
        <v>3</v>
      </c>
      <c r="I12" s="29">
        <f>2.5+2.5+2.6+3.5+3.4+3.4</f>
        <v>17.899999999999999</v>
      </c>
      <c r="J12" s="29">
        <f>2.9+2.8+2.8+4.5+4.4+4.4</f>
        <v>21.799999999999997</v>
      </c>
      <c r="K12" s="29">
        <f>SUM(I12:J12)</f>
        <v>39.699999999999996</v>
      </c>
      <c r="L12" s="31">
        <v>3</v>
      </c>
      <c r="M12" s="29">
        <f>2.6+2.4+2.3+3.5+3.4+3.3</f>
        <v>17.5</v>
      </c>
      <c r="N12" s="29">
        <f>2.5+2.5+2.6+3.5+3.6+3.7</f>
        <v>18.399999999999999</v>
      </c>
      <c r="O12" s="29">
        <f t="shared" ref="O12:O17" si="1">M12+N12</f>
        <v>35.9</v>
      </c>
      <c r="P12" s="31">
        <v>3</v>
      </c>
      <c r="Q12" s="32">
        <f t="shared" si="0"/>
        <v>9</v>
      </c>
    </row>
    <row r="13" spans="1:17" x14ac:dyDescent="0.25">
      <c r="A13" s="28">
        <v>9</v>
      </c>
      <c r="B13" s="28" t="s">
        <v>755</v>
      </c>
      <c r="C13" s="28" t="s">
        <v>9</v>
      </c>
      <c r="D13" s="29"/>
      <c r="E13" s="29"/>
      <c r="F13" s="29"/>
      <c r="G13" s="29"/>
      <c r="H13" s="31"/>
      <c r="I13" s="29">
        <f>2.5+2.5+2.7+3.4+3.4+3.6</f>
        <v>18.100000000000001</v>
      </c>
      <c r="J13" s="29">
        <f>2.6+2.7+2.7+4.1+4.2+4</f>
        <v>20.3</v>
      </c>
      <c r="K13" s="29">
        <f>SUM(I13:J13)</f>
        <v>38.400000000000006</v>
      </c>
      <c r="L13" s="31">
        <v>3</v>
      </c>
      <c r="M13" s="29">
        <f>2.6+2.4+2.4+3.5+3.3+3.3</f>
        <v>17.5</v>
      </c>
      <c r="N13" s="29">
        <f>2.6+2.6+2.6+3.7+3.7+3.7</f>
        <v>18.899999999999999</v>
      </c>
      <c r="O13" s="29">
        <f t="shared" si="1"/>
        <v>36.4</v>
      </c>
      <c r="P13" s="31">
        <v>3</v>
      </c>
      <c r="Q13" s="32">
        <f t="shared" si="0"/>
        <v>6</v>
      </c>
    </row>
    <row r="14" spans="1:17" x14ac:dyDescent="0.25">
      <c r="A14" s="28">
        <v>10</v>
      </c>
      <c r="B14" s="28" t="s">
        <v>622</v>
      </c>
      <c r="C14" s="28" t="s">
        <v>82</v>
      </c>
      <c r="D14" s="29"/>
      <c r="E14" s="29"/>
      <c r="F14" s="29"/>
      <c r="G14" s="29"/>
      <c r="H14" s="31"/>
      <c r="I14" s="29">
        <f>2.6+2.6+2.6+3.6+3.5+3.6</f>
        <v>18.5</v>
      </c>
      <c r="J14" s="29">
        <f>2.8+2.7+2.7+4.3+4.2+4.2</f>
        <v>20.9</v>
      </c>
      <c r="K14" s="29">
        <f>SUM(I14:J14)</f>
        <v>39.4</v>
      </c>
      <c r="L14" s="31">
        <v>3</v>
      </c>
      <c r="M14" s="29">
        <f>2.7+2.4+2.3+3.7+3.5+3.3</f>
        <v>17.899999999999999</v>
      </c>
      <c r="N14" s="29">
        <f>2.5+2.6+2.5+3.6+3.7+3.5</f>
        <v>18.399999999999999</v>
      </c>
      <c r="O14" s="29">
        <f t="shared" si="1"/>
        <v>36.299999999999997</v>
      </c>
      <c r="P14" s="31">
        <v>3</v>
      </c>
      <c r="Q14" s="32">
        <f t="shared" si="0"/>
        <v>6</v>
      </c>
    </row>
    <row r="15" spans="1:17" x14ac:dyDescent="0.25">
      <c r="A15" s="28">
        <v>11</v>
      </c>
      <c r="B15" s="28" t="s">
        <v>265</v>
      </c>
      <c r="C15" s="28" t="s">
        <v>7</v>
      </c>
      <c r="D15" s="29">
        <v>19.3</v>
      </c>
      <c r="E15" s="29">
        <v>17.3</v>
      </c>
      <c r="F15" s="29">
        <v>16.899999999999999</v>
      </c>
      <c r="G15" s="29">
        <f>SUM(D15:F15)</f>
        <v>53.5</v>
      </c>
      <c r="H15" s="31">
        <v>3</v>
      </c>
      <c r="I15" s="29"/>
      <c r="J15" s="29"/>
      <c r="K15" s="29"/>
      <c r="L15" s="31"/>
      <c r="M15" s="29">
        <f>2.4+2.3+2.4+3.4+3.3+3.4</f>
        <v>17.2</v>
      </c>
      <c r="N15" s="29">
        <f>2.4+2.5+2.6+3.5+3.6+3.6</f>
        <v>18.2</v>
      </c>
      <c r="O15" s="29">
        <f t="shared" si="1"/>
        <v>35.4</v>
      </c>
      <c r="P15" s="31">
        <v>3</v>
      </c>
      <c r="Q15" s="32">
        <f t="shared" si="0"/>
        <v>6</v>
      </c>
    </row>
    <row r="16" spans="1:17" x14ac:dyDescent="0.25">
      <c r="A16" s="28">
        <v>12</v>
      </c>
      <c r="B16" s="28" t="s">
        <v>756</v>
      </c>
      <c r="C16" s="28" t="s">
        <v>704</v>
      </c>
      <c r="D16" s="29"/>
      <c r="E16" s="29"/>
      <c r="F16" s="29"/>
      <c r="G16" s="29"/>
      <c r="H16" s="31"/>
      <c r="I16" s="29"/>
      <c r="J16" s="29"/>
      <c r="K16" s="29"/>
      <c r="L16" s="31"/>
      <c r="M16" s="29">
        <f>2.4+2.3+2.4+3.3+3.3+3.4</f>
        <v>17.099999999999998</v>
      </c>
      <c r="N16" s="29">
        <f>2.4+2.5+2.6+3.5+3.6+3.5</f>
        <v>18.100000000000001</v>
      </c>
      <c r="O16" s="29">
        <f t="shared" si="1"/>
        <v>35.200000000000003</v>
      </c>
      <c r="P16" s="31">
        <v>3</v>
      </c>
      <c r="Q16" s="32">
        <f t="shared" si="0"/>
        <v>3</v>
      </c>
    </row>
    <row r="17" spans="1:17" x14ac:dyDescent="0.25">
      <c r="A17" s="28">
        <v>13</v>
      </c>
      <c r="B17" s="28" t="s">
        <v>757</v>
      </c>
      <c r="C17" s="28" t="s">
        <v>12</v>
      </c>
      <c r="D17" s="29"/>
      <c r="E17" s="29"/>
      <c r="F17" s="29"/>
      <c r="G17" s="29"/>
      <c r="H17" s="31"/>
      <c r="I17" s="29"/>
      <c r="J17" s="29"/>
      <c r="K17" s="29"/>
      <c r="L17" s="31"/>
      <c r="M17" s="29">
        <f>2.2+2.2+2.3+3.2+3.3+3.3</f>
        <v>16.5</v>
      </c>
      <c r="N17" s="29">
        <f>2.5+2.5+2.5+3.6+3.5+3.5</f>
        <v>18.100000000000001</v>
      </c>
      <c r="O17" s="29">
        <f t="shared" si="1"/>
        <v>34.6</v>
      </c>
      <c r="P17" s="31">
        <v>3</v>
      </c>
      <c r="Q17" s="32">
        <f t="shared" si="0"/>
        <v>3</v>
      </c>
    </row>
    <row r="18" spans="1:17" x14ac:dyDescent="0.25">
      <c r="A18" s="28">
        <v>14</v>
      </c>
      <c r="B18" s="28" t="s">
        <v>266</v>
      </c>
      <c r="C18" s="28" t="s">
        <v>6</v>
      </c>
      <c r="D18" s="29">
        <v>18.8</v>
      </c>
      <c r="E18" s="29">
        <v>17.899999999999999</v>
      </c>
      <c r="F18" s="29">
        <v>16.8</v>
      </c>
      <c r="G18" s="29">
        <f>SUM(D18:F18)</f>
        <v>53.5</v>
      </c>
      <c r="H18" s="31">
        <v>3</v>
      </c>
      <c r="I18" s="29"/>
      <c r="J18" s="29"/>
      <c r="K18" s="29"/>
      <c r="L18" s="31"/>
      <c r="M18" s="29"/>
      <c r="N18" s="29"/>
      <c r="O18" s="29"/>
      <c r="P18" s="31"/>
      <c r="Q18" s="32">
        <f t="shared" si="0"/>
        <v>3</v>
      </c>
    </row>
  </sheetData>
  <sortState ref="B4:Q17">
    <sortCondition descending="1" ref="Q4:Q17"/>
  </sortState>
  <mergeCells count="1">
    <mergeCell ref="A1:G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7109375" customWidth="1"/>
    <col min="5" max="5" width="6.5703125" customWidth="1"/>
    <col min="6" max="6" width="6.140625" customWidth="1"/>
    <col min="7" max="7" width="11.85546875" bestFit="1" customWidth="1"/>
    <col min="8" max="8" width="18.28515625" customWidth="1"/>
    <col min="9" max="9" width="7.85546875" customWidth="1"/>
    <col min="10" max="10" width="8.7109375" customWidth="1"/>
    <col min="12" max="12" width="19.5703125" customWidth="1"/>
    <col min="13" max="13" width="8.85546875" customWidth="1"/>
    <col min="14" max="14" width="8.5703125" customWidth="1"/>
    <col min="16" max="16" width="20.140625" customWidth="1"/>
    <col min="17" max="17" width="23.140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11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355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346</v>
      </c>
      <c r="C6" s="28" t="s">
        <v>95</v>
      </c>
      <c r="D6" s="29">
        <v>24.5</v>
      </c>
      <c r="E6" s="29">
        <v>24.7</v>
      </c>
      <c r="F6" s="29">
        <v>21.2</v>
      </c>
      <c r="G6" s="29">
        <f>SUM(D6:F6)</f>
        <v>70.400000000000006</v>
      </c>
      <c r="H6" s="31">
        <v>23</v>
      </c>
      <c r="I6" s="29">
        <f>2.5+3.1+3.1+4.5+4.6+5.6</f>
        <v>23.4</v>
      </c>
      <c r="J6" s="29">
        <f>2.8+2.7+2.7+4.8+4.9+4.7</f>
        <v>22.599999999999998</v>
      </c>
      <c r="K6" s="29">
        <f>SUM(I6:J6)</f>
        <v>46</v>
      </c>
      <c r="L6" s="31">
        <v>23</v>
      </c>
      <c r="M6" s="29">
        <f>2.9+2.7+2.7+3.9+3.5+3.5</f>
        <v>19.200000000000003</v>
      </c>
      <c r="N6" s="29">
        <f>3.2+3+3+4.4+4.2+3.9</f>
        <v>21.7</v>
      </c>
      <c r="O6" s="29">
        <f>M6+N6</f>
        <v>40.900000000000006</v>
      </c>
      <c r="P6" s="31">
        <v>18</v>
      </c>
      <c r="Q6" s="32">
        <f t="shared" ref="Q6:Q18" si="0">H6+L6+P6</f>
        <v>64</v>
      </c>
    </row>
    <row r="7" spans="1:17" x14ac:dyDescent="0.25">
      <c r="A7" s="28">
        <v>2</v>
      </c>
      <c r="B7" s="28" t="s">
        <v>758</v>
      </c>
      <c r="C7" s="28" t="s">
        <v>95</v>
      </c>
      <c r="D7" s="29"/>
      <c r="E7" s="29"/>
      <c r="F7" s="29"/>
      <c r="G7" s="29"/>
      <c r="H7" s="31"/>
      <c r="I7" s="29">
        <f>2.6+2.8+2.6+4.4+4.5+4.2</f>
        <v>21.099999999999998</v>
      </c>
      <c r="J7" s="29">
        <f>2.7+2.7+2.6+4.6+4.5+4.6</f>
        <v>21.700000000000003</v>
      </c>
      <c r="K7" s="29">
        <f>SUM(I7:J7)</f>
        <v>42.8</v>
      </c>
      <c r="L7" s="31">
        <v>13</v>
      </c>
      <c r="M7" s="29">
        <f>2.9+2.8+2.8+4+3.9+3.9</f>
        <v>20.299999999999997</v>
      </c>
      <c r="N7" s="29">
        <f>2.9+2.7+2.7+2.7+3.9+3.8+3.6</f>
        <v>22.3</v>
      </c>
      <c r="O7" s="29">
        <f>M7+N7</f>
        <v>42.599999999999994</v>
      </c>
      <c r="P7" s="31">
        <v>23</v>
      </c>
      <c r="Q7" s="32">
        <f t="shared" si="0"/>
        <v>36</v>
      </c>
    </row>
    <row r="8" spans="1:17" x14ac:dyDescent="0.25">
      <c r="A8" s="28">
        <v>3</v>
      </c>
      <c r="B8" s="28" t="s">
        <v>347</v>
      </c>
      <c r="C8" s="28" t="s">
        <v>69</v>
      </c>
      <c r="D8" s="29">
        <v>22.1</v>
      </c>
      <c r="E8" s="29">
        <v>22.5</v>
      </c>
      <c r="F8" s="29">
        <v>18.8</v>
      </c>
      <c r="G8" s="29">
        <f>SUM(D8:F8)</f>
        <v>63.400000000000006</v>
      </c>
      <c r="H8" s="31">
        <v>13</v>
      </c>
      <c r="I8" s="29">
        <f>2.7+2.7+2.7+4.5+4.4+4.5</f>
        <v>21.5</v>
      </c>
      <c r="J8" s="29">
        <f>2.8+2.9+2.9+4.9+4.8+4.8</f>
        <v>23.1</v>
      </c>
      <c r="K8" s="29">
        <f>SUM(I8:J8)</f>
        <v>44.6</v>
      </c>
      <c r="L8" s="31">
        <v>18</v>
      </c>
      <c r="M8" s="29">
        <f>2.7+2.7+2.7+3.8+3.8+3.8</f>
        <v>19.500000000000004</v>
      </c>
      <c r="N8" s="29">
        <f>2.6+2.4+2.5+3.7+3.4+3.5</f>
        <v>18.100000000000001</v>
      </c>
      <c r="O8" s="29">
        <f>M8+N8</f>
        <v>37.600000000000009</v>
      </c>
      <c r="P8" s="31">
        <v>3</v>
      </c>
      <c r="Q8" s="32">
        <f t="shared" si="0"/>
        <v>34</v>
      </c>
    </row>
    <row r="9" spans="1:17" x14ac:dyDescent="0.25">
      <c r="A9" s="28">
        <v>4</v>
      </c>
      <c r="B9" s="28" t="s">
        <v>351</v>
      </c>
      <c r="C9" s="28" t="s">
        <v>5</v>
      </c>
      <c r="D9" s="29">
        <v>21</v>
      </c>
      <c r="E9" s="29">
        <v>22.4</v>
      </c>
      <c r="F9" s="29">
        <v>18.3</v>
      </c>
      <c r="G9" s="29">
        <f>SUM(D9:F9)</f>
        <v>61.7</v>
      </c>
      <c r="H9" s="31">
        <v>3</v>
      </c>
      <c r="I9" s="29">
        <f>2.7+2.7+2.8+4.6+4.4+4.4</f>
        <v>21.6</v>
      </c>
      <c r="J9" s="29">
        <f>2.6+2.4+2.6+4.6+4.6+4.7</f>
        <v>21.499999999999996</v>
      </c>
      <c r="K9" s="29">
        <f>SUM(I9:J9)</f>
        <v>43.099999999999994</v>
      </c>
      <c r="L9" s="31">
        <v>13</v>
      </c>
      <c r="M9" s="29">
        <f>2.6+2.7+2.8+3.5+3.6+3.7</f>
        <v>18.900000000000002</v>
      </c>
      <c r="N9" s="29">
        <f>2.8+2.7+2.6+3.8+3.6+3.7</f>
        <v>19.2</v>
      </c>
      <c r="O9" s="29">
        <f>M9+N9</f>
        <v>38.1</v>
      </c>
      <c r="P9" s="31">
        <v>13</v>
      </c>
      <c r="Q9" s="32">
        <f t="shared" si="0"/>
        <v>29</v>
      </c>
    </row>
    <row r="10" spans="1:17" x14ac:dyDescent="0.25">
      <c r="A10" s="28">
        <v>5</v>
      </c>
      <c r="B10" s="28" t="s">
        <v>354</v>
      </c>
      <c r="C10" s="28" t="s">
        <v>9</v>
      </c>
      <c r="D10" s="29">
        <v>23.3</v>
      </c>
      <c r="E10" s="29">
        <v>23.4</v>
      </c>
      <c r="F10" s="29">
        <v>18.7</v>
      </c>
      <c r="G10" s="29">
        <f>SUM(D10:F10)</f>
        <v>65.400000000000006</v>
      </c>
      <c r="H10" s="31">
        <v>18</v>
      </c>
      <c r="I10" s="29"/>
      <c r="J10" s="29"/>
      <c r="K10" s="29"/>
      <c r="L10" s="31"/>
      <c r="M10" s="29"/>
      <c r="N10" s="29"/>
      <c r="O10" s="29"/>
      <c r="P10" s="31"/>
      <c r="Q10" s="32">
        <f t="shared" si="0"/>
        <v>18</v>
      </c>
    </row>
    <row r="11" spans="1:17" x14ac:dyDescent="0.25">
      <c r="A11" s="28">
        <v>6</v>
      </c>
      <c r="B11" s="28" t="s">
        <v>624</v>
      </c>
      <c r="C11" s="28" t="s">
        <v>397</v>
      </c>
      <c r="D11" s="29"/>
      <c r="E11" s="29"/>
      <c r="F11" s="29"/>
      <c r="G11" s="29"/>
      <c r="H11" s="31"/>
      <c r="I11" s="29">
        <f>2.6+2.6+2.7+4.5+4.3+4.4</f>
        <v>21.1</v>
      </c>
      <c r="J11" s="29">
        <f>2.5+2.5+2.5+4.4+4.4+4.4</f>
        <v>20.700000000000003</v>
      </c>
      <c r="K11" s="29">
        <f>SUM(I11:J11)</f>
        <v>41.800000000000004</v>
      </c>
      <c r="L11" s="31">
        <v>3</v>
      </c>
      <c r="M11" s="29">
        <f>2.6+2.7+2.7+3.7+3.8+3.8</f>
        <v>19.3</v>
      </c>
      <c r="N11" s="29">
        <f>2.6+2.6+2.8+3.6+3.6+3.7</f>
        <v>18.899999999999999</v>
      </c>
      <c r="O11" s="29">
        <f>M11+N11</f>
        <v>38.200000000000003</v>
      </c>
      <c r="P11" s="31">
        <v>13</v>
      </c>
      <c r="Q11" s="32">
        <f t="shared" si="0"/>
        <v>16</v>
      </c>
    </row>
    <row r="12" spans="1:17" x14ac:dyDescent="0.25">
      <c r="A12" s="28">
        <v>7</v>
      </c>
      <c r="B12" s="28" t="s">
        <v>350</v>
      </c>
      <c r="C12" s="28" t="s">
        <v>9</v>
      </c>
      <c r="D12" s="29">
        <v>22.5</v>
      </c>
      <c r="E12" s="29">
        <v>23</v>
      </c>
      <c r="F12" s="29">
        <v>18</v>
      </c>
      <c r="G12" s="29">
        <f>SUM(D12:F12)</f>
        <v>63.5</v>
      </c>
      <c r="H12" s="31">
        <v>13</v>
      </c>
      <c r="I12" s="29"/>
      <c r="J12" s="29"/>
      <c r="K12" s="29"/>
      <c r="L12" s="31"/>
      <c r="M12" s="29"/>
      <c r="N12" s="29"/>
      <c r="O12" s="29"/>
      <c r="P12" s="31"/>
      <c r="Q12" s="32">
        <f t="shared" si="0"/>
        <v>13</v>
      </c>
    </row>
    <row r="13" spans="1:17" x14ac:dyDescent="0.25">
      <c r="A13" s="28">
        <v>8</v>
      </c>
      <c r="B13" s="28" t="s">
        <v>353</v>
      </c>
      <c r="C13" s="28" t="s">
        <v>29</v>
      </c>
      <c r="D13" s="29">
        <v>21.8</v>
      </c>
      <c r="E13" s="29">
        <v>21.9</v>
      </c>
      <c r="F13" s="29">
        <v>17.8</v>
      </c>
      <c r="G13" s="29">
        <f>SUM(D13:F13)</f>
        <v>61.5</v>
      </c>
      <c r="H13" s="31">
        <v>3</v>
      </c>
      <c r="I13" s="29">
        <f>2.5+2.8+2.8+4.3+4.4+4.4</f>
        <v>21.199999999999996</v>
      </c>
      <c r="J13" s="29">
        <f>2.5+2.5+2.4+4.4+4.5+4.5</f>
        <v>20.8</v>
      </c>
      <c r="K13" s="29">
        <f>SUM(I13:J13)</f>
        <v>42</v>
      </c>
      <c r="L13" s="31">
        <v>3</v>
      </c>
      <c r="M13" s="29">
        <f>2.8+2.7+2.7+3.8+3.8+3.5</f>
        <v>19.3</v>
      </c>
      <c r="N13" s="29">
        <f>2.5+2.6+2.4+3.6+3.5+3.5</f>
        <v>18.100000000000001</v>
      </c>
      <c r="O13" s="29">
        <f>M13+N13</f>
        <v>37.400000000000006</v>
      </c>
      <c r="P13" s="31">
        <v>3</v>
      </c>
      <c r="Q13" s="32">
        <f t="shared" si="0"/>
        <v>9</v>
      </c>
    </row>
    <row r="14" spans="1:17" x14ac:dyDescent="0.25">
      <c r="A14" s="28">
        <v>9</v>
      </c>
      <c r="B14" s="28" t="s">
        <v>352</v>
      </c>
      <c r="C14" s="28" t="s">
        <v>5</v>
      </c>
      <c r="D14" s="29">
        <v>21.3</v>
      </c>
      <c r="E14" s="29">
        <v>22.3</v>
      </c>
      <c r="F14" s="29">
        <v>17.899999999999999</v>
      </c>
      <c r="G14" s="29">
        <f>SUM(D14:F14)</f>
        <v>61.5</v>
      </c>
      <c r="H14" s="31">
        <v>3</v>
      </c>
      <c r="I14" s="29">
        <f>2.6+2.7+2.8+4.5+4.3+4.6</f>
        <v>21.5</v>
      </c>
      <c r="J14" s="29">
        <f>2.3+2.3+2.4+4.5+4.6+4.5</f>
        <v>20.6</v>
      </c>
      <c r="K14" s="29">
        <f>SUM(I14:J14)</f>
        <v>42.1</v>
      </c>
      <c r="L14" s="31">
        <v>3</v>
      </c>
      <c r="M14" s="29">
        <f>2.6+2.7+2.7+3.4+3.4+3.7</f>
        <v>18.5</v>
      </c>
      <c r="N14" s="29">
        <f>2.6+2.5+2.5+3.5+3.4+3.6</f>
        <v>18.100000000000001</v>
      </c>
      <c r="O14" s="29">
        <f>M14+N14</f>
        <v>36.6</v>
      </c>
      <c r="P14" s="31">
        <v>3</v>
      </c>
      <c r="Q14" s="32">
        <f t="shared" si="0"/>
        <v>9</v>
      </c>
    </row>
    <row r="15" spans="1:17" x14ac:dyDescent="0.25">
      <c r="A15" s="28">
        <v>10</v>
      </c>
      <c r="B15" s="28" t="s">
        <v>625</v>
      </c>
      <c r="C15" s="28" t="s">
        <v>397</v>
      </c>
      <c r="D15" s="29"/>
      <c r="E15" s="29"/>
      <c r="F15" s="29"/>
      <c r="G15" s="29"/>
      <c r="H15" s="31"/>
      <c r="I15" s="29">
        <f>2.5+2.5+2.7+4.3+4.2+4.3</f>
        <v>20.5</v>
      </c>
      <c r="J15" s="29">
        <f>2.2+2.2+2.3+4.3+4.3+4.3</f>
        <v>19.600000000000001</v>
      </c>
      <c r="K15" s="29">
        <f>SUM(I15:J15)</f>
        <v>40.1</v>
      </c>
      <c r="L15" s="31">
        <v>3</v>
      </c>
      <c r="M15" s="29">
        <f>2.5+2.7+2.7+3.6+3.6+3.7</f>
        <v>18.8</v>
      </c>
      <c r="N15" s="29">
        <f>2.5+2.4+2.5+3.6+3.4+3.5</f>
        <v>17.899999999999999</v>
      </c>
      <c r="O15" s="29">
        <f>M15+N15</f>
        <v>36.700000000000003</v>
      </c>
      <c r="P15" s="31">
        <v>3</v>
      </c>
      <c r="Q15" s="32">
        <f t="shared" si="0"/>
        <v>6</v>
      </c>
    </row>
    <row r="16" spans="1:17" x14ac:dyDescent="0.25">
      <c r="A16" s="28">
        <v>11</v>
      </c>
      <c r="B16" s="28" t="s">
        <v>349</v>
      </c>
      <c r="C16" s="28" t="s">
        <v>67</v>
      </c>
      <c r="D16" s="29">
        <v>20.5</v>
      </c>
      <c r="E16" s="29">
        <v>21</v>
      </c>
      <c r="F16" s="29">
        <v>17.5</v>
      </c>
      <c r="G16" s="29">
        <f>SUM(D16:F16)</f>
        <v>59</v>
      </c>
      <c r="H16" s="31">
        <v>3</v>
      </c>
      <c r="I16" s="29"/>
      <c r="J16" s="29"/>
      <c r="K16" s="29"/>
      <c r="L16" s="31"/>
      <c r="M16" s="29"/>
      <c r="N16" s="29"/>
      <c r="O16" s="29"/>
      <c r="P16" s="31"/>
      <c r="Q16" s="32">
        <f t="shared" si="0"/>
        <v>3</v>
      </c>
    </row>
    <row r="17" spans="1:17" x14ac:dyDescent="0.25">
      <c r="A17" s="28">
        <v>12</v>
      </c>
      <c r="B17" s="28" t="s">
        <v>348</v>
      </c>
      <c r="C17" s="28" t="s">
        <v>67</v>
      </c>
      <c r="D17" s="29">
        <v>20.3</v>
      </c>
      <c r="E17" s="29">
        <v>21.5</v>
      </c>
      <c r="F17" s="29">
        <v>16.8</v>
      </c>
      <c r="G17" s="29">
        <f>SUM(D17:F17)</f>
        <v>58.599999999999994</v>
      </c>
      <c r="H17" s="31">
        <v>3</v>
      </c>
      <c r="I17" s="29"/>
      <c r="J17" s="29"/>
      <c r="K17" s="29"/>
      <c r="L17" s="31"/>
      <c r="M17" s="29"/>
      <c r="N17" s="29"/>
      <c r="O17" s="29"/>
      <c r="P17" s="31"/>
      <c r="Q17" s="32">
        <f t="shared" si="0"/>
        <v>3</v>
      </c>
    </row>
    <row r="18" spans="1:17" x14ac:dyDescent="0.25">
      <c r="A18" s="28">
        <v>13</v>
      </c>
      <c r="B18" s="28" t="s">
        <v>626</v>
      </c>
      <c r="C18" s="28" t="s">
        <v>15</v>
      </c>
      <c r="D18" s="29"/>
      <c r="E18" s="29"/>
      <c r="F18" s="29"/>
      <c r="G18" s="29"/>
      <c r="H18" s="31"/>
      <c r="I18" s="29"/>
      <c r="J18" s="29"/>
      <c r="K18" s="29"/>
      <c r="L18" s="31"/>
      <c r="M18" s="29"/>
      <c r="N18" s="29"/>
      <c r="O18" s="29"/>
      <c r="P18" s="31"/>
      <c r="Q18" s="32">
        <f t="shared" si="0"/>
        <v>0</v>
      </c>
    </row>
    <row r="19" spans="1:17" x14ac:dyDescent="0.25">
      <c r="Q19" s="40"/>
    </row>
  </sheetData>
  <sortState ref="B4:Q16">
    <sortCondition descending="1" ref="Q4:Q16"/>
  </sortState>
  <mergeCells count="1">
    <mergeCell ref="A1:G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25.7109375" customWidth="1"/>
    <col min="4" max="4" width="6.28515625" customWidth="1"/>
    <col min="5" max="5" width="6.140625" customWidth="1"/>
    <col min="6" max="6" width="6" customWidth="1"/>
    <col min="7" max="7" width="13" customWidth="1"/>
    <col min="8" max="8" width="18.7109375" customWidth="1"/>
    <col min="9" max="9" width="7" customWidth="1"/>
    <col min="10" max="10" width="6.85546875" customWidth="1"/>
    <col min="12" max="12" width="19.140625" customWidth="1"/>
    <col min="13" max="14" width="7.5703125" customWidth="1"/>
    <col min="15" max="15" width="12.28515625" customWidth="1"/>
    <col min="16" max="16" width="19.7109375" customWidth="1"/>
    <col min="17" max="17" width="23.855468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3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360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357</v>
      </c>
      <c r="C6" s="28" t="s">
        <v>95</v>
      </c>
      <c r="D6" s="29">
        <v>21.2</v>
      </c>
      <c r="E6" s="29">
        <v>19.899999999999999</v>
      </c>
      <c r="F6" s="29">
        <v>23.3</v>
      </c>
      <c r="G6" s="29">
        <f>SUM(D6:F6)</f>
        <v>64.399999999999991</v>
      </c>
      <c r="H6" s="31">
        <v>23</v>
      </c>
      <c r="I6" s="29">
        <f>2.8+2.6+2.8+4+3.7+3.9</f>
        <v>19.799999999999997</v>
      </c>
      <c r="J6" s="29">
        <f>2.6+2.6+2.7+3.6+3.7+3.6</f>
        <v>18.8</v>
      </c>
      <c r="K6" s="29">
        <f>SUM(I6:J6)</f>
        <v>38.599999999999994</v>
      </c>
      <c r="L6" s="31">
        <v>23</v>
      </c>
      <c r="M6" s="29">
        <f>2.7+2.7+2.7+3.7+3.7+3.6</f>
        <v>19.100000000000001</v>
      </c>
      <c r="N6" s="29">
        <f>2.6+2.6+2.6+3.8+3.7+3.6</f>
        <v>18.900000000000002</v>
      </c>
      <c r="O6" s="29">
        <f t="shared" ref="O6:O11" si="0">M6+N6</f>
        <v>38</v>
      </c>
      <c r="P6" s="31">
        <v>23</v>
      </c>
      <c r="Q6" s="32">
        <f t="shared" ref="Q6:Q19" si="1">H6+L6+P6</f>
        <v>69</v>
      </c>
    </row>
    <row r="7" spans="1:17" x14ac:dyDescent="0.25">
      <c r="A7" s="28">
        <v>2</v>
      </c>
      <c r="B7" s="28" t="s">
        <v>759</v>
      </c>
      <c r="C7" s="28" t="s">
        <v>5</v>
      </c>
      <c r="D7" s="29">
        <v>18</v>
      </c>
      <c r="E7" s="29">
        <v>18</v>
      </c>
      <c r="F7" s="29">
        <v>20.2</v>
      </c>
      <c r="G7" s="29">
        <f>SUM(D7:F7)</f>
        <v>56.2</v>
      </c>
      <c r="H7" s="31">
        <v>18</v>
      </c>
      <c r="I7" s="29">
        <f>2.6+2.6+2.5+3.7+3.6+3.5</f>
        <v>18.5</v>
      </c>
      <c r="J7" s="29">
        <f>2.5+2.5+2.5+3.5+3.4+3.5</f>
        <v>17.899999999999999</v>
      </c>
      <c r="K7" s="29">
        <f>SUM(I7:J7)</f>
        <v>36.4</v>
      </c>
      <c r="L7" s="31">
        <v>13</v>
      </c>
      <c r="M7" s="29">
        <f>2.6+2.6+2.6+3.5+3.5+3.5</f>
        <v>18.3</v>
      </c>
      <c r="N7" s="29">
        <f>2.3+2.1+2.3+3.3+3.1+3.2</f>
        <v>16.3</v>
      </c>
      <c r="O7" s="29">
        <f t="shared" si="0"/>
        <v>34.6</v>
      </c>
      <c r="P7" s="31">
        <v>3</v>
      </c>
      <c r="Q7" s="32">
        <f t="shared" si="1"/>
        <v>34</v>
      </c>
    </row>
    <row r="8" spans="1:17" x14ac:dyDescent="0.25">
      <c r="A8" s="28">
        <v>3</v>
      </c>
      <c r="B8" s="28" t="s">
        <v>760</v>
      </c>
      <c r="C8" s="28" t="s">
        <v>9</v>
      </c>
      <c r="D8" s="29"/>
      <c r="E8" s="29"/>
      <c r="F8" s="29"/>
      <c r="G8" s="29"/>
      <c r="H8" s="31"/>
      <c r="I8" s="29">
        <f>2.7+2.7+2.6+3.9+3.8+3.8</f>
        <v>19.5</v>
      </c>
      <c r="J8" s="29">
        <f>2.6+2.6+2.6+3.6+3.6+3.6</f>
        <v>18.600000000000001</v>
      </c>
      <c r="K8" s="29">
        <f>SUM(I8:J8)</f>
        <v>38.1</v>
      </c>
      <c r="L8" s="31">
        <v>18</v>
      </c>
      <c r="M8" s="29">
        <f>2.4+2.4+2.3+3.4+3.4+3.4</f>
        <v>17.3</v>
      </c>
      <c r="N8" s="29">
        <f>2.4+2.4+2.5+3.5+3.5+3.4</f>
        <v>17.7</v>
      </c>
      <c r="O8" s="29">
        <f t="shared" si="0"/>
        <v>35</v>
      </c>
      <c r="P8" s="31">
        <v>13</v>
      </c>
      <c r="Q8" s="32">
        <f t="shared" si="1"/>
        <v>31</v>
      </c>
    </row>
    <row r="9" spans="1:17" x14ac:dyDescent="0.25">
      <c r="A9" s="28">
        <v>5</v>
      </c>
      <c r="B9" s="37" t="s">
        <v>628</v>
      </c>
      <c r="C9" s="28" t="s">
        <v>15</v>
      </c>
      <c r="D9" s="29">
        <v>17.600000000000001</v>
      </c>
      <c r="E9" s="29">
        <v>17.100000000000001</v>
      </c>
      <c r="F9" s="29">
        <v>16.8</v>
      </c>
      <c r="G9" s="29">
        <f>SUM(D9:F9)</f>
        <v>51.5</v>
      </c>
      <c r="H9" s="31">
        <v>13</v>
      </c>
      <c r="I9" s="29">
        <f>2.7+2.5+2.7+3.8+3.6+3.7</f>
        <v>19</v>
      </c>
      <c r="J9" s="29">
        <f>2.5+2.4+2.4+3.4+3.5+3.4</f>
        <v>17.600000000000001</v>
      </c>
      <c r="K9" s="29">
        <f>SUM(I9:J9)</f>
        <v>36.6</v>
      </c>
      <c r="L9" s="31">
        <v>13</v>
      </c>
      <c r="M9" s="29">
        <f>2.5+2.5+2.4+3.5+3.5+3.5</f>
        <v>17.899999999999999</v>
      </c>
      <c r="N9" s="29">
        <f>2.1+2.1+2.1+3.2+3.1+3.1</f>
        <v>15.7</v>
      </c>
      <c r="O9" s="29">
        <f t="shared" si="0"/>
        <v>33.599999999999994</v>
      </c>
      <c r="P9" s="31">
        <v>3</v>
      </c>
      <c r="Q9" s="32">
        <f t="shared" si="1"/>
        <v>29</v>
      </c>
    </row>
    <row r="10" spans="1:17" x14ac:dyDescent="0.25">
      <c r="A10" s="28">
        <v>6</v>
      </c>
      <c r="B10" s="28" t="s">
        <v>761</v>
      </c>
      <c r="C10" s="28" t="s">
        <v>9</v>
      </c>
      <c r="D10" s="29"/>
      <c r="E10" s="29"/>
      <c r="F10" s="29"/>
      <c r="G10" s="29"/>
      <c r="H10" s="31"/>
      <c r="I10" s="29"/>
      <c r="J10" s="29"/>
      <c r="K10" s="29"/>
      <c r="L10" s="31"/>
      <c r="M10" s="29">
        <f>2.6+2.6+2.6+3.6+3.7+3.6</f>
        <v>18.700000000000003</v>
      </c>
      <c r="N10" s="29">
        <f>2.3+2.4+2.4+3.4+3.4+3.4</f>
        <v>17.3</v>
      </c>
      <c r="O10" s="29">
        <f t="shared" si="0"/>
        <v>36</v>
      </c>
      <c r="P10" s="31">
        <v>18</v>
      </c>
      <c r="Q10" s="32">
        <f t="shared" si="1"/>
        <v>18</v>
      </c>
    </row>
    <row r="11" spans="1:17" x14ac:dyDescent="0.25">
      <c r="A11" s="28">
        <v>7</v>
      </c>
      <c r="B11" s="28" t="s">
        <v>630</v>
      </c>
      <c r="C11" s="28" t="s">
        <v>67</v>
      </c>
      <c r="D11" s="29"/>
      <c r="E11" s="29"/>
      <c r="F11" s="29"/>
      <c r="G11" s="29"/>
      <c r="H11" s="31"/>
      <c r="I11" s="29">
        <f>2.7+2.5+2.6+3.7+3.7+3.7</f>
        <v>18.899999999999999</v>
      </c>
      <c r="J11" s="29">
        <f>2.4+2.3+2.3+3.4+3.4+3.4</f>
        <v>17.2</v>
      </c>
      <c r="K11" s="29">
        <f>SUM(I11:J11)</f>
        <v>36.099999999999994</v>
      </c>
      <c r="L11" s="31">
        <v>3</v>
      </c>
      <c r="M11" s="29">
        <f>2.7+2.7+2.7+3.7+3.7+3.7</f>
        <v>19.2</v>
      </c>
      <c r="N11" s="29">
        <f>2.3+2.2+2.2+3.3+3.2+3.3</f>
        <v>16.5</v>
      </c>
      <c r="O11" s="29">
        <f t="shared" si="0"/>
        <v>35.700000000000003</v>
      </c>
      <c r="P11" s="31">
        <v>13</v>
      </c>
      <c r="Q11" s="32">
        <f t="shared" si="1"/>
        <v>16</v>
      </c>
    </row>
    <row r="12" spans="1:17" x14ac:dyDescent="0.25">
      <c r="A12" s="28">
        <v>8</v>
      </c>
      <c r="B12" s="28" t="s">
        <v>356</v>
      </c>
      <c r="C12" s="28" t="s">
        <v>5</v>
      </c>
      <c r="D12" s="29">
        <v>16.8</v>
      </c>
      <c r="E12" s="29">
        <v>18.399999999999999</v>
      </c>
      <c r="F12" s="29">
        <v>20.399999999999999</v>
      </c>
      <c r="G12" s="29">
        <f>SUM(D12:F12)</f>
        <v>55.6</v>
      </c>
      <c r="H12" s="31">
        <v>13</v>
      </c>
      <c r="I12" s="29">
        <f>2.6+2.4+2.4+3.6+3.6+3.4</f>
        <v>18</v>
      </c>
      <c r="J12" s="29">
        <f>2.5+2.4+2.4+3.6+3.4+3.5</f>
        <v>17.8</v>
      </c>
      <c r="K12" s="29">
        <f>SUM(I12:J12)</f>
        <v>35.799999999999997</v>
      </c>
      <c r="L12" s="31">
        <v>3</v>
      </c>
      <c r="M12" s="29"/>
      <c r="N12" s="29"/>
      <c r="O12" s="29"/>
      <c r="P12" s="31"/>
      <c r="Q12" s="32">
        <f t="shared" si="1"/>
        <v>16</v>
      </c>
    </row>
    <row r="13" spans="1:17" x14ac:dyDescent="0.25">
      <c r="A13" s="28">
        <v>9</v>
      </c>
      <c r="B13" s="28" t="s">
        <v>762</v>
      </c>
      <c r="C13" s="28" t="s">
        <v>15</v>
      </c>
      <c r="D13" s="29">
        <v>16</v>
      </c>
      <c r="E13" s="29">
        <v>15.7</v>
      </c>
      <c r="F13" s="29">
        <v>16.3</v>
      </c>
      <c r="G13" s="29">
        <f>SUM(D13:F13)</f>
        <v>48</v>
      </c>
      <c r="H13" s="31">
        <v>3</v>
      </c>
      <c r="I13" s="29"/>
      <c r="J13" s="29"/>
      <c r="K13" s="29"/>
      <c r="L13" s="31"/>
      <c r="M13" s="29">
        <f>2.5+2.5+2.5+3.5+3.5+3.5</f>
        <v>18</v>
      </c>
      <c r="N13" s="29">
        <f>2.2+2+2+3.2+3+3</f>
        <v>15.4</v>
      </c>
      <c r="O13" s="29">
        <f>M13+N13</f>
        <v>33.4</v>
      </c>
      <c r="P13" s="31">
        <v>3</v>
      </c>
      <c r="Q13" s="32">
        <f t="shared" si="1"/>
        <v>6</v>
      </c>
    </row>
    <row r="14" spans="1:17" x14ac:dyDescent="0.25">
      <c r="A14" s="28">
        <v>10</v>
      </c>
      <c r="B14" s="28" t="s">
        <v>631</v>
      </c>
      <c r="C14" s="28" t="s">
        <v>444</v>
      </c>
      <c r="D14" s="29"/>
      <c r="E14" s="29"/>
      <c r="F14" s="29"/>
      <c r="G14" s="29"/>
      <c r="H14" s="31"/>
      <c r="I14" s="29">
        <f>2.3+2.4+2.5+3.4+3.4+3.5</f>
        <v>17.5</v>
      </c>
      <c r="J14" s="29">
        <f>2.2+2.2+2.3+3.4+3.3+3.4</f>
        <v>16.799999999999997</v>
      </c>
      <c r="K14" s="29">
        <f>SUM(I14:J14)</f>
        <v>34.299999999999997</v>
      </c>
      <c r="L14" s="31">
        <v>3</v>
      </c>
      <c r="M14" s="29">
        <f>2.4+2.4+2.4+3.4+3.4+3.4</f>
        <v>17.399999999999999</v>
      </c>
      <c r="N14" s="29">
        <f>2+2+2+2.9+3+3.1</f>
        <v>15</v>
      </c>
      <c r="O14" s="29">
        <f>M14+N14</f>
        <v>32.4</v>
      </c>
      <c r="P14" s="31">
        <v>3</v>
      </c>
      <c r="Q14" s="32">
        <f t="shared" si="1"/>
        <v>6</v>
      </c>
    </row>
    <row r="15" spans="1:17" x14ac:dyDescent="0.25">
      <c r="A15" s="28">
        <v>11</v>
      </c>
      <c r="B15" s="28" t="s">
        <v>787</v>
      </c>
      <c r="C15" s="28" t="s">
        <v>72</v>
      </c>
      <c r="D15" s="29"/>
      <c r="E15" s="29"/>
      <c r="F15" s="29"/>
      <c r="G15" s="29"/>
      <c r="H15" s="31"/>
      <c r="I15" s="29"/>
      <c r="J15" s="29"/>
      <c r="K15" s="29"/>
      <c r="L15" s="31"/>
      <c r="M15" s="29">
        <f>2.4+2.4+2.4+3.4+3.6+3.4</f>
        <v>17.599999999999998</v>
      </c>
      <c r="N15" s="29">
        <f>2.2+2.2+2.3+3.4+3.4+3.4</f>
        <v>16.899999999999999</v>
      </c>
      <c r="O15" s="29">
        <f>M15+N15</f>
        <v>34.5</v>
      </c>
      <c r="P15" s="31">
        <v>3</v>
      </c>
      <c r="Q15" s="32">
        <f t="shared" si="1"/>
        <v>3</v>
      </c>
    </row>
    <row r="16" spans="1:17" x14ac:dyDescent="0.25">
      <c r="A16" s="28">
        <v>12</v>
      </c>
      <c r="B16" s="28" t="s">
        <v>629</v>
      </c>
      <c r="C16" s="28" t="s">
        <v>95</v>
      </c>
      <c r="D16" s="29"/>
      <c r="E16" s="29"/>
      <c r="F16" s="29"/>
      <c r="G16" s="29"/>
      <c r="H16" s="31"/>
      <c r="I16" s="29">
        <f>2.5+2.5+2.4+3.6+3.5+3.6</f>
        <v>18.100000000000001</v>
      </c>
      <c r="J16" s="29">
        <f>2.3+2.4+2.4+3.4+3.3+3.4</f>
        <v>17.2</v>
      </c>
      <c r="K16" s="29">
        <f>SUM(I16:J16)</f>
        <v>35.299999999999997</v>
      </c>
      <c r="L16" s="31">
        <v>3</v>
      </c>
      <c r="M16" s="29"/>
      <c r="N16" s="29"/>
      <c r="O16" s="29"/>
      <c r="P16" s="31"/>
      <c r="Q16" s="32">
        <f t="shared" si="1"/>
        <v>3</v>
      </c>
    </row>
    <row r="17" spans="1:17" x14ac:dyDescent="0.25">
      <c r="A17" s="28">
        <v>13</v>
      </c>
      <c r="B17" s="28" t="s">
        <v>627</v>
      </c>
      <c r="C17" s="28" t="s">
        <v>15</v>
      </c>
      <c r="D17" s="29"/>
      <c r="E17" s="29"/>
      <c r="F17" s="29"/>
      <c r="G17" s="29"/>
      <c r="H17" s="31"/>
      <c r="I17" s="29">
        <f>2.5+2.5+2.6+3.5+3.7+3.6</f>
        <v>18.400000000000002</v>
      </c>
      <c r="J17" s="29">
        <f>2.3+2.3+2.3+3.2+3.3+3.4</f>
        <v>16.799999999999997</v>
      </c>
      <c r="K17" s="29">
        <f>SUM(I17:J17)</f>
        <v>35.200000000000003</v>
      </c>
      <c r="L17" s="31">
        <v>3</v>
      </c>
      <c r="M17" s="29"/>
      <c r="N17" s="29"/>
      <c r="O17" s="29"/>
      <c r="P17" s="31"/>
      <c r="Q17" s="32">
        <f t="shared" si="1"/>
        <v>3</v>
      </c>
    </row>
    <row r="18" spans="1:17" x14ac:dyDescent="0.25">
      <c r="A18" s="28">
        <v>14</v>
      </c>
      <c r="B18" s="28" t="s">
        <v>359</v>
      </c>
      <c r="C18" s="28" t="s">
        <v>6</v>
      </c>
      <c r="D18" s="29">
        <v>17</v>
      </c>
      <c r="E18" s="29">
        <v>16.600000000000001</v>
      </c>
      <c r="F18" s="29">
        <v>16.100000000000001</v>
      </c>
      <c r="G18" s="29">
        <f>SUM(D18:F18)</f>
        <v>49.7</v>
      </c>
      <c r="H18" s="31">
        <v>3</v>
      </c>
      <c r="I18" s="29"/>
      <c r="J18" s="29"/>
      <c r="K18" s="29"/>
      <c r="L18" s="31"/>
      <c r="M18" s="29"/>
      <c r="N18" s="29"/>
      <c r="O18" s="29"/>
      <c r="P18" s="31"/>
      <c r="Q18" s="32">
        <f t="shared" si="1"/>
        <v>3</v>
      </c>
    </row>
    <row r="19" spans="1:17" x14ac:dyDescent="0.25">
      <c r="A19" s="28">
        <v>15</v>
      </c>
      <c r="B19" s="28" t="s">
        <v>358</v>
      </c>
      <c r="C19" s="28" t="s">
        <v>12</v>
      </c>
      <c r="D19" s="29">
        <v>15.7</v>
      </c>
      <c r="E19" s="29">
        <v>15.1</v>
      </c>
      <c r="F19" s="29">
        <v>15</v>
      </c>
      <c r="G19" s="29">
        <f>SUM(D19:F19)</f>
        <v>45.8</v>
      </c>
      <c r="H19" s="31">
        <v>3</v>
      </c>
      <c r="I19" s="29"/>
      <c r="J19" s="29"/>
      <c r="K19" s="29"/>
      <c r="L19" s="31"/>
      <c r="M19" s="29"/>
      <c r="N19" s="29"/>
      <c r="O19" s="29"/>
      <c r="P19" s="31"/>
      <c r="Q19" s="32">
        <f t="shared" si="1"/>
        <v>3</v>
      </c>
    </row>
  </sheetData>
  <sortState ref="B4:Q17">
    <sortCondition descending="1" ref="Q4:Q17"/>
  </sortState>
  <mergeCells count="1">
    <mergeCell ref="A1:G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2"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8.85546875" customWidth="1"/>
    <col min="4" max="6" width="7.42578125" bestFit="1" customWidth="1"/>
    <col min="7" max="7" width="12.28515625" customWidth="1"/>
    <col min="8" max="8" width="18" customWidth="1"/>
    <col min="9" max="9" width="8.42578125" customWidth="1"/>
    <col min="10" max="10" width="8" customWidth="1"/>
    <col min="12" max="12" width="17.7109375" customWidth="1"/>
    <col min="13" max="13" width="8" customWidth="1"/>
    <col min="14" max="14" width="8.28515625" customWidth="1"/>
    <col min="16" max="16" width="18.5703125" customWidth="1"/>
    <col min="17" max="17" width="23.57031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3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176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785</v>
      </c>
      <c r="C6" s="28" t="s">
        <v>9</v>
      </c>
      <c r="D6" s="29">
        <v>24.5</v>
      </c>
      <c r="E6" s="29">
        <v>19.600000000000001</v>
      </c>
      <c r="F6" s="29">
        <v>18.5</v>
      </c>
      <c r="G6" s="29">
        <f>SUM(D6:F6)</f>
        <v>62.6</v>
      </c>
      <c r="H6" s="31">
        <v>23</v>
      </c>
      <c r="I6" s="29">
        <f>2.7+2.7+2.7+3.6+3.6+3.6</f>
        <v>18.900000000000002</v>
      </c>
      <c r="J6" s="29">
        <f>2.9+2.8+2.9+4.6+4.9+4.6</f>
        <v>22.700000000000003</v>
      </c>
      <c r="K6" s="29">
        <f>SUM(I6:J6)</f>
        <v>41.600000000000009</v>
      </c>
      <c r="L6" s="31">
        <v>23</v>
      </c>
      <c r="M6" s="29">
        <f>2.6+2.4+2.6+3.5+3.5+3.6</f>
        <v>18.2</v>
      </c>
      <c r="N6" s="29">
        <f>2.6+2.7+2.7+3.7+3.7+3.7</f>
        <v>19.099999999999998</v>
      </c>
      <c r="O6" s="29">
        <f t="shared" ref="O6:O11" si="0">M6+N6</f>
        <v>37.299999999999997</v>
      </c>
      <c r="P6" s="31">
        <v>23</v>
      </c>
      <c r="Q6" s="32">
        <f t="shared" ref="Q6:Q13" si="1">H6+L6+P6</f>
        <v>69</v>
      </c>
    </row>
    <row r="7" spans="1:17" x14ac:dyDescent="0.25">
      <c r="A7" s="28">
        <v>2</v>
      </c>
      <c r="B7" s="28" t="s">
        <v>763</v>
      </c>
      <c r="C7" s="28" t="s">
        <v>6</v>
      </c>
      <c r="D7" s="29"/>
      <c r="E7" s="29"/>
      <c r="F7" s="29"/>
      <c r="G7" s="29"/>
      <c r="H7" s="31"/>
      <c r="I7" s="29">
        <f>2.7+2.7+2.7+3.4+3.7+3.7</f>
        <v>18.900000000000002</v>
      </c>
      <c r="J7" s="29">
        <f>2.8+2.9+2.8+4.3+4.5+4.4</f>
        <v>21.700000000000003</v>
      </c>
      <c r="K7" s="29">
        <f>SUM(I7:J7)</f>
        <v>40.600000000000009</v>
      </c>
      <c r="L7" s="31">
        <v>18</v>
      </c>
      <c r="M7" s="29">
        <f>2.5+2.4+2.4+3.4+3.5+3.5</f>
        <v>17.700000000000003</v>
      </c>
      <c r="N7" s="29">
        <f>2.6+2.6+2.6+3.6+3.6+3.6</f>
        <v>18.600000000000001</v>
      </c>
      <c r="O7" s="29">
        <f t="shared" si="0"/>
        <v>36.300000000000004</v>
      </c>
      <c r="P7" s="31">
        <v>18</v>
      </c>
      <c r="Q7" s="32">
        <f t="shared" si="1"/>
        <v>36</v>
      </c>
    </row>
    <row r="8" spans="1:17" x14ac:dyDescent="0.25">
      <c r="A8" s="28">
        <v>3</v>
      </c>
      <c r="B8" s="28" t="s">
        <v>119</v>
      </c>
      <c r="C8" s="28" t="s">
        <v>120</v>
      </c>
      <c r="D8" s="29">
        <v>24.9</v>
      </c>
      <c r="E8" s="29">
        <v>17.899999999999999</v>
      </c>
      <c r="F8" s="29">
        <v>18.600000000000001</v>
      </c>
      <c r="G8" s="29">
        <f>SUM(D8:F8)</f>
        <v>61.4</v>
      </c>
      <c r="H8" s="31">
        <v>18</v>
      </c>
      <c r="I8" s="29"/>
      <c r="J8" s="29"/>
      <c r="K8" s="29"/>
      <c r="L8" s="31"/>
      <c r="M8" s="29">
        <f>2.4+2.3+2.3+3.5+3.3+3.3</f>
        <v>17.100000000000001</v>
      </c>
      <c r="N8" s="29">
        <f>2.5+2.6+2.4+3.6+3.6+3.6</f>
        <v>18.3</v>
      </c>
      <c r="O8" s="29">
        <f t="shared" si="0"/>
        <v>35.400000000000006</v>
      </c>
      <c r="P8" s="31">
        <v>13</v>
      </c>
      <c r="Q8" s="32">
        <f t="shared" si="1"/>
        <v>31</v>
      </c>
    </row>
    <row r="9" spans="1:17" x14ac:dyDescent="0.25">
      <c r="A9" s="28">
        <v>4</v>
      </c>
      <c r="B9" s="28" t="s">
        <v>121</v>
      </c>
      <c r="C9" s="28" t="s">
        <v>6</v>
      </c>
      <c r="D9" s="29">
        <v>22.2</v>
      </c>
      <c r="E9" s="29">
        <v>15.6</v>
      </c>
      <c r="F9" s="29">
        <v>16.399999999999999</v>
      </c>
      <c r="G9" s="29">
        <f>SUM(D9:F9)</f>
        <v>54.199999999999996</v>
      </c>
      <c r="H9" s="31">
        <v>13</v>
      </c>
      <c r="I9" s="29">
        <f>2.5+2.5+2.5+3.4+3.3+3.4</f>
        <v>17.599999999999998</v>
      </c>
      <c r="J9" s="29">
        <f>2.5+2.6+2.7+4.4+4.5+4.3</f>
        <v>21</v>
      </c>
      <c r="K9" s="29">
        <f>SUM(I9:J9)</f>
        <v>38.599999999999994</v>
      </c>
      <c r="L9" s="31">
        <v>13</v>
      </c>
      <c r="M9" s="29">
        <f>2.2+2.2+2.2+3.3+3.2+3.2</f>
        <v>16.3</v>
      </c>
      <c r="N9" s="29">
        <f>2.5+2.5+2.5+3.5+3.5+3.5</f>
        <v>18</v>
      </c>
      <c r="O9" s="29">
        <f t="shared" si="0"/>
        <v>34.299999999999997</v>
      </c>
      <c r="P9" s="31">
        <v>3</v>
      </c>
      <c r="Q9" s="32">
        <f t="shared" si="1"/>
        <v>29</v>
      </c>
    </row>
    <row r="10" spans="1:17" x14ac:dyDescent="0.25">
      <c r="A10" s="28">
        <v>5</v>
      </c>
      <c r="B10" s="28" t="s">
        <v>764</v>
      </c>
      <c r="C10" s="28" t="s">
        <v>9</v>
      </c>
      <c r="D10" s="29"/>
      <c r="E10" s="29"/>
      <c r="F10" s="29"/>
      <c r="G10" s="29"/>
      <c r="H10" s="31"/>
      <c r="I10" s="29">
        <f>2.6+2.6+2.6+3.4+3.5+3.6</f>
        <v>18.3</v>
      </c>
      <c r="J10" s="29">
        <f>2.8+2.7+2.8+4.5+4.5+4.4</f>
        <v>21.700000000000003</v>
      </c>
      <c r="K10" s="29">
        <f>SUM(I10:J10)</f>
        <v>40</v>
      </c>
      <c r="L10" s="31">
        <v>13</v>
      </c>
      <c r="M10" s="29">
        <f>2.5+2.4+2.6+3.6+3.4+3.6</f>
        <v>18.100000000000001</v>
      </c>
      <c r="N10" s="29">
        <f>2.4+2.5+2.5+3.4+3.5+3.5</f>
        <v>17.8</v>
      </c>
      <c r="O10" s="29">
        <f t="shared" si="0"/>
        <v>35.900000000000006</v>
      </c>
      <c r="P10" s="31">
        <v>13</v>
      </c>
      <c r="Q10" s="32">
        <f t="shared" si="1"/>
        <v>26</v>
      </c>
    </row>
    <row r="11" spans="1:17" x14ac:dyDescent="0.25">
      <c r="A11" s="28">
        <v>6</v>
      </c>
      <c r="B11" s="28" t="s">
        <v>765</v>
      </c>
      <c r="C11" s="28" t="s">
        <v>9</v>
      </c>
      <c r="D11" s="29"/>
      <c r="E11" s="29"/>
      <c r="F11" s="29"/>
      <c r="G11" s="29"/>
      <c r="H11" s="31"/>
      <c r="I11" s="29"/>
      <c r="J11" s="29"/>
      <c r="K11" s="29"/>
      <c r="L11" s="31"/>
      <c r="M11" s="29">
        <f>2.3+2.3+2.3+3.4+3.2+3.3</f>
        <v>16.8</v>
      </c>
      <c r="N11" s="29">
        <f>2.4+2.5+2.5+3.5+3.5+3.4</f>
        <v>17.8</v>
      </c>
      <c r="O11" s="29">
        <f t="shared" si="0"/>
        <v>34.6</v>
      </c>
      <c r="P11" s="31">
        <v>3</v>
      </c>
      <c r="Q11" s="32">
        <f t="shared" si="1"/>
        <v>3</v>
      </c>
    </row>
    <row r="12" spans="1:17" x14ac:dyDescent="0.25">
      <c r="A12" s="28">
        <v>7</v>
      </c>
      <c r="B12" s="28" t="s">
        <v>632</v>
      </c>
      <c r="C12" s="28" t="s">
        <v>9</v>
      </c>
      <c r="D12" s="29"/>
      <c r="E12" s="29"/>
      <c r="F12" s="29"/>
      <c r="G12" s="29"/>
      <c r="H12" s="31"/>
      <c r="I12" s="29"/>
      <c r="J12" s="29"/>
      <c r="K12" s="29"/>
      <c r="L12" s="31"/>
      <c r="M12" s="29"/>
      <c r="N12" s="29"/>
      <c r="O12" s="29"/>
      <c r="P12" s="31"/>
      <c r="Q12" s="32">
        <f t="shared" si="1"/>
        <v>0</v>
      </c>
    </row>
    <row r="13" spans="1:17" x14ac:dyDescent="0.25">
      <c r="A13" s="28">
        <v>8</v>
      </c>
      <c r="B13" s="28" t="s">
        <v>633</v>
      </c>
      <c r="C13" s="28" t="s">
        <v>15</v>
      </c>
      <c r="D13" s="29"/>
      <c r="E13" s="29"/>
      <c r="F13" s="29"/>
      <c r="G13" s="29"/>
      <c r="H13" s="31"/>
      <c r="I13" s="29"/>
      <c r="J13" s="29"/>
      <c r="K13" s="29"/>
      <c r="L13" s="31"/>
      <c r="M13" s="29"/>
      <c r="N13" s="29"/>
      <c r="O13" s="29"/>
      <c r="P13" s="31"/>
      <c r="Q13" s="32">
        <f t="shared" si="1"/>
        <v>0</v>
      </c>
    </row>
  </sheetData>
  <sortState ref="B4:Q11">
    <sortCondition descending="1" ref="Q4:Q11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8.85546875" customWidth="1"/>
    <col min="4" max="6" width="7.42578125" bestFit="1" customWidth="1"/>
    <col min="8" max="8" width="18.140625" customWidth="1"/>
    <col min="9" max="9" width="7.28515625" customWidth="1"/>
    <col min="10" max="10" width="8" customWidth="1"/>
    <col min="12" max="12" width="18" customWidth="1"/>
    <col min="13" max="13" width="7.85546875" customWidth="1"/>
    <col min="14" max="14" width="8.28515625" customWidth="1"/>
    <col min="15" max="15" width="13" customWidth="1"/>
    <col min="16" max="16" width="18.140625" customWidth="1"/>
    <col min="17" max="17" width="22.71093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3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183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8</v>
      </c>
      <c r="C6" s="28" t="s">
        <v>9</v>
      </c>
      <c r="D6" s="29">
        <v>22.3</v>
      </c>
      <c r="E6" s="29">
        <v>21.9</v>
      </c>
      <c r="F6" s="29">
        <v>21.5</v>
      </c>
      <c r="G6" s="29">
        <f t="shared" ref="G6:G11" si="0">SUM(D6:F6)</f>
        <v>65.7</v>
      </c>
      <c r="H6" s="31">
        <v>23</v>
      </c>
      <c r="I6" s="29">
        <f>2.6+2.6+2.9+4.6+4.9+4.5</f>
        <v>22.1</v>
      </c>
      <c r="J6" s="29">
        <f>2.7+2.7+2.6+4.8+4.7+4.6</f>
        <v>22.1</v>
      </c>
      <c r="K6" s="29">
        <f>SUM(I6:J6)</f>
        <v>44.2</v>
      </c>
      <c r="L6" s="31">
        <v>23</v>
      </c>
      <c r="M6" s="29">
        <f>2.8+2.8+2.8+3.8+3.8+3.8</f>
        <v>19.8</v>
      </c>
      <c r="N6" s="29">
        <f>2.7+2.6+2.6+3.8+3.6+3.6</f>
        <v>18.899999999999999</v>
      </c>
      <c r="O6" s="29">
        <f t="shared" ref="O6:O15" si="1">M6+N6</f>
        <v>38.700000000000003</v>
      </c>
      <c r="P6" s="31">
        <v>18</v>
      </c>
      <c r="Q6" s="32">
        <f t="shared" ref="Q6:Q18" si="2">H6+L6+P6</f>
        <v>64</v>
      </c>
    </row>
    <row r="7" spans="1:17" x14ac:dyDescent="0.25">
      <c r="A7" s="28">
        <v>2</v>
      </c>
      <c r="B7" s="28" t="s">
        <v>770</v>
      </c>
      <c r="C7" s="28" t="s">
        <v>6</v>
      </c>
      <c r="D7" s="29">
        <v>23.5</v>
      </c>
      <c r="E7" s="29">
        <v>21.7</v>
      </c>
      <c r="F7" s="29">
        <v>19.600000000000001</v>
      </c>
      <c r="G7" s="29">
        <f t="shared" si="0"/>
        <v>64.800000000000011</v>
      </c>
      <c r="H7" s="31">
        <v>18</v>
      </c>
      <c r="I7" s="29">
        <f>2.6+2.7+2.7+4.5+4.4+4.3</f>
        <v>21.2</v>
      </c>
      <c r="J7" s="29">
        <f>2.7+2.6+2.5+4.7+4.7+4.6</f>
        <v>21.799999999999997</v>
      </c>
      <c r="K7" s="29">
        <f>SUM(I7:J7)</f>
        <v>43</v>
      </c>
      <c r="L7" s="31">
        <v>18</v>
      </c>
      <c r="M7" s="29">
        <f>2.8+2.9+2.7+3.9+3.8+3.7</f>
        <v>19.799999999999997</v>
      </c>
      <c r="N7" s="29">
        <f>2.6+2.5+2.5+3.5+3.4+3.5</f>
        <v>18</v>
      </c>
      <c r="O7" s="29">
        <f t="shared" si="1"/>
        <v>37.799999999999997</v>
      </c>
      <c r="P7" s="31">
        <v>13</v>
      </c>
      <c r="Q7" s="32">
        <f t="shared" si="2"/>
        <v>49</v>
      </c>
    </row>
    <row r="8" spans="1:17" x14ac:dyDescent="0.25">
      <c r="A8" s="28">
        <v>3</v>
      </c>
      <c r="B8" s="37" t="s">
        <v>769</v>
      </c>
      <c r="C8" s="28" t="s">
        <v>7</v>
      </c>
      <c r="D8" s="29">
        <v>22.2</v>
      </c>
      <c r="E8" s="29">
        <v>22</v>
      </c>
      <c r="F8" s="29">
        <v>19.3</v>
      </c>
      <c r="G8" s="29">
        <f t="shared" si="0"/>
        <v>63.5</v>
      </c>
      <c r="H8" s="31">
        <v>3</v>
      </c>
      <c r="I8" s="29"/>
      <c r="J8" s="29"/>
      <c r="K8" s="29"/>
      <c r="L8" s="31"/>
      <c r="M8" s="29">
        <f>2.8+2.7+2.8+3.7+3.7+3.7</f>
        <v>19.399999999999999</v>
      </c>
      <c r="N8" s="29">
        <f>2.8+2.8+2.7+3.9+3.6+3.7</f>
        <v>19.5</v>
      </c>
      <c r="O8" s="29">
        <f t="shared" si="1"/>
        <v>38.9</v>
      </c>
      <c r="P8" s="31">
        <v>23</v>
      </c>
      <c r="Q8" s="32">
        <f t="shared" si="2"/>
        <v>26</v>
      </c>
    </row>
    <row r="9" spans="1:17" x14ac:dyDescent="0.25">
      <c r="A9" s="28">
        <v>4</v>
      </c>
      <c r="B9" s="37" t="s">
        <v>10</v>
      </c>
      <c r="C9" s="28" t="s">
        <v>9</v>
      </c>
      <c r="D9" s="29">
        <v>22.2</v>
      </c>
      <c r="E9" s="29">
        <v>21.1</v>
      </c>
      <c r="F9" s="29">
        <v>20.9</v>
      </c>
      <c r="G9" s="29">
        <f t="shared" si="0"/>
        <v>64.199999999999989</v>
      </c>
      <c r="H9" s="31">
        <v>3</v>
      </c>
      <c r="I9" s="29">
        <f>2.5+2.5+2.8+4.5+4.3+4.2</f>
        <v>20.8</v>
      </c>
      <c r="J9" s="29">
        <f>2.5+2.5+2.5+4.7+4.6+4.5</f>
        <v>21.299999999999997</v>
      </c>
      <c r="K9" s="29">
        <f t="shared" ref="K9:K14" si="3">SUM(I9:J9)</f>
        <v>42.099999999999994</v>
      </c>
      <c r="L9" s="31">
        <v>13</v>
      </c>
      <c r="M9" s="29">
        <f>2.7+2.7+2.6+3.6+3.7+3.7</f>
        <v>19</v>
      </c>
      <c r="N9" s="29">
        <f>2.7+2.5+2.6+3.7+3.5+3.4</f>
        <v>18.399999999999999</v>
      </c>
      <c r="O9" s="29">
        <f t="shared" si="1"/>
        <v>37.4</v>
      </c>
      <c r="P9" s="31">
        <v>3</v>
      </c>
      <c r="Q9" s="32">
        <f t="shared" si="2"/>
        <v>19</v>
      </c>
    </row>
    <row r="10" spans="1:17" x14ac:dyDescent="0.25">
      <c r="A10" s="28">
        <v>5</v>
      </c>
      <c r="B10" s="28" t="s">
        <v>4</v>
      </c>
      <c r="C10" s="28" t="s">
        <v>5</v>
      </c>
      <c r="D10" s="29">
        <v>23.5</v>
      </c>
      <c r="E10" s="29">
        <v>20.8</v>
      </c>
      <c r="F10" s="29">
        <v>20.2</v>
      </c>
      <c r="G10" s="29">
        <f t="shared" si="0"/>
        <v>64.5</v>
      </c>
      <c r="H10" s="31">
        <v>13</v>
      </c>
      <c r="I10" s="29">
        <f>2.3+2.4+2.6+4.2+4.3+4.3</f>
        <v>20.100000000000001</v>
      </c>
      <c r="J10" s="29">
        <f>2.5+2.5+2.5+4.5+4.6+4.6</f>
        <v>21.200000000000003</v>
      </c>
      <c r="K10" s="29">
        <f t="shared" si="3"/>
        <v>41.300000000000004</v>
      </c>
      <c r="L10" s="31">
        <v>3</v>
      </c>
      <c r="M10" s="29">
        <f>2.7+2.7+2.7+3.6+3.6+3.6</f>
        <v>18.900000000000002</v>
      </c>
      <c r="N10" s="29">
        <f>2.7+2.5+2.4+3.8+3.4+3.6</f>
        <v>18.399999999999999</v>
      </c>
      <c r="O10" s="29">
        <f t="shared" si="1"/>
        <v>37.299999999999997</v>
      </c>
      <c r="P10" s="31">
        <v>3</v>
      </c>
      <c r="Q10" s="32">
        <f t="shared" si="2"/>
        <v>19</v>
      </c>
    </row>
    <row r="11" spans="1:17" x14ac:dyDescent="0.25">
      <c r="A11" s="28">
        <v>6</v>
      </c>
      <c r="B11" s="37" t="s">
        <v>634</v>
      </c>
      <c r="C11" s="28" t="s">
        <v>5</v>
      </c>
      <c r="D11" s="29">
        <v>21.6</v>
      </c>
      <c r="E11" s="29">
        <v>22.4</v>
      </c>
      <c r="F11" s="29">
        <v>20.3</v>
      </c>
      <c r="G11" s="29">
        <f t="shared" si="0"/>
        <v>64.3</v>
      </c>
      <c r="H11" s="31">
        <v>13</v>
      </c>
      <c r="I11" s="29">
        <f>2.4+2.3+2.7+4.5+4.2+4.4</f>
        <v>20.5</v>
      </c>
      <c r="J11" s="29">
        <f>2.4+2.4+2.4+4.5+4.6+4.5</f>
        <v>20.799999999999997</v>
      </c>
      <c r="K11" s="29">
        <f t="shared" si="3"/>
        <v>41.3</v>
      </c>
      <c r="L11" s="31">
        <v>3</v>
      </c>
      <c r="M11" s="29">
        <f>2.6+2.7+2.7+3.6+3.6+3.6</f>
        <v>18.8</v>
      </c>
      <c r="N11" s="29">
        <f>2.6+2.6+2.5+3.6+3.5+3.6</f>
        <v>18.400000000000002</v>
      </c>
      <c r="O11" s="29">
        <f t="shared" si="1"/>
        <v>37.200000000000003</v>
      </c>
      <c r="P11" s="31">
        <v>3</v>
      </c>
      <c r="Q11" s="32">
        <f t="shared" si="2"/>
        <v>19</v>
      </c>
    </row>
    <row r="12" spans="1:17" x14ac:dyDescent="0.25">
      <c r="A12" s="28">
        <v>7</v>
      </c>
      <c r="B12" s="28" t="s">
        <v>650</v>
      </c>
      <c r="C12" s="28" t="s">
        <v>67</v>
      </c>
      <c r="D12" s="29"/>
      <c r="E12" s="29"/>
      <c r="F12" s="29"/>
      <c r="G12" s="29"/>
      <c r="H12" s="31"/>
      <c r="I12" s="29">
        <f>2.4+2.5+2.7+4.4+4.3+4.4</f>
        <v>20.700000000000003</v>
      </c>
      <c r="J12" s="29">
        <f>2.4+2.5+2.4+4.3+4.4+4.4</f>
        <v>20.399999999999999</v>
      </c>
      <c r="K12" s="29">
        <f t="shared" si="3"/>
        <v>41.1</v>
      </c>
      <c r="L12" s="31">
        <v>3</v>
      </c>
      <c r="M12" s="29">
        <f>2.7+2.7+2.6+3.7+3.8+3.7</f>
        <v>19.2</v>
      </c>
      <c r="N12" s="29">
        <f>2.7+2.6+2.6+3.6+3.6+3.6</f>
        <v>18.7</v>
      </c>
      <c r="O12" s="29">
        <f t="shared" si="1"/>
        <v>37.9</v>
      </c>
      <c r="P12" s="31">
        <v>13</v>
      </c>
      <c r="Q12" s="32">
        <f t="shared" si="2"/>
        <v>16</v>
      </c>
    </row>
    <row r="13" spans="1:17" x14ac:dyDescent="0.25">
      <c r="A13" s="28">
        <v>8</v>
      </c>
      <c r="B13" s="28" t="s">
        <v>766</v>
      </c>
      <c r="C13" s="28" t="s">
        <v>397</v>
      </c>
      <c r="D13" s="29"/>
      <c r="E13" s="29"/>
      <c r="F13" s="29"/>
      <c r="G13" s="29"/>
      <c r="H13" s="31"/>
      <c r="I13" s="29">
        <f>2.6+2.4+2.7+4.7+4.3+4.2</f>
        <v>20.9</v>
      </c>
      <c r="J13" s="29">
        <f>2.4+2.4+2.5+4.6+4.6+4.5</f>
        <v>21</v>
      </c>
      <c r="K13" s="29">
        <f t="shared" si="3"/>
        <v>41.9</v>
      </c>
      <c r="L13" s="31">
        <v>13</v>
      </c>
      <c r="M13" s="29">
        <f>2.4+2.6+2.6+3.4+3.6+3.6</f>
        <v>18.2</v>
      </c>
      <c r="N13" s="29">
        <f>2.5+2.3+2.4+3.4+3.2+3.4</f>
        <v>17.2</v>
      </c>
      <c r="O13" s="29">
        <f t="shared" si="1"/>
        <v>35.4</v>
      </c>
      <c r="P13" s="31">
        <v>3</v>
      </c>
      <c r="Q13" s="32">
        <f t="shared" si="2"/>
        <v>16</v>
      </c>
    </row>
    <row r="14" spans="1:17" x14ac:dyDescent="0.25">
      <c r="A14" s="28">
        <v>11</v>
      </c>
      <c r="B14" s="28" t="s">
        <v>636</v>
      </c>
      <c r="C14" s="28" t="s">
        <v>15</v>
      </c>
      <c r="D14" s="29"/>
      <c r="E14" s="29"/>
      <c r="F14" s="29"/>
      <c r="G14" s="29"/>
      <c r="H14" s="31"/>
      <c r="I14" s="29">
        <f>2.3+2.4+2.3+4+4.1+4</f>
        <v>19.100000000000001</v>
      </c>
      <c r="J14" s="29">
        <f>2.2+2.2+2.3+4.2+4.1+4.2</f>
        <v>19.2</v>
      </c>
      <c r="K14" s="29">
        <f t="shared" si="3"/>
        <v>38.299999999999997</v>
      </c>
      <c r="L14" s="31">
        <v>3</v>
      </c>
      <c r="M14" s="29">
        <f>2.6+2.6+2.6+3.5+3.6+3.6</f>
        <v>18.5</v>
      </c>
      <c r="N14" s="29">
        <f>2.2+2.4+2.4+3.3+3.3+3.5</f>
        <v>17.100000000000001</v>
      </c>
      <c r="O14" s="29">
        <f t="shared" si="1"/>
        <v>35.6</v>
      </c>
      <c r="P14" s="31">
        <v>3</v>
      </c>
      <c r="Q14" s="32">
        <f t="shared" si="2"/>
        <v>6</v>
      </c>
    </row>
    <row r="15" spans="1:17" x14ac:dyDescent="0.25">
      <c r="A15" s="28">
        <v>12</v>
      </c>
      <c r="B15" s="37" t="s">
        <v>767</v>
      </c>
      <c r="C15" s="28" t="s">
        <v>12</v>
      </c>
      <c r="D15" s="29">
        <v>21.4</v>
      </c>
      <c r="E15" s="29">
        <v>18.399999999999999</v>
      </c>
      <c r="F15" s="29">
        <v>18.600000000000001</v>
      </c>
      <c r="G15" s="29">
        <f>SUM(D15:F15)</f>
        <v>58.4</v>
      </c>
      <c r="H15" s="31">
        <v>3</v>
      </c>
      <c r="I15" s="29"/>
      <c r="J15" s="29"/>
      <c r="K15" s="29"/>
      <c r="L15" s="31"/>
      <c r="M15" s="29">
        <f>2.4+2.5+2.5+3.4+3.5+3.4</f>
        <v>17.7</v>
      </c>
      <c r="N15" s="29">
        <f>2.1+2.1+2.1+2.8+3.1+3.1</f>
        <v>15.3</v>
      </c>
      <c r="O15" s="29">
        <f t="shared" si="1"/>
        <v>33</v>
      </c>
      <c r="P15" s="31">
        <v>3</v>
      </c>
      <c r="Q15" s="32">
        <f t="shared" si="2"/>
        <v>6</v>
      </c>
    </row>
    <row r="16" spans="1:17" x14ac:dyDescent="0.25">
      <c r="A16" s="28">
        <v>13</v>
      </c>
      <c r="B16" s="28" t="s">
        <v>11</v>
      </c>
      <c r="C16" s="28" t="s">
        <v>12</v>
      </c>
      <c r="D16" s="29">
        <v>20.8</v>
      </c>
      <c r="E16" s="29">
        <v>19.3</v>
      </c>
      <c r="F16" s="29">
        <v>17</v>
      </c>
      <c r="G16" s="29">
        <f>SUM(D16:F16)</f>
        <v>57.1</v>
      </c>
      <c r="H16" s="31">
        <v>3</v>
      </c>
      <c r="I16" s="29">
        <f>2.3+2.3+2.5+4.2+4.1+4</f>
        <v>19.399999999999999</v>
      </c>
      <c r="J16" s="29">
        <f>2.1+2.1+2.2+4.1+4+4.1</f>
        <v>18.600000000000001</v>
      </c>
      <c r="K16" s="29">
        <f>SUM(I16:J16)</f>
        <v>38</v>
      </c>
      <c r="L16" s="31">
        <v>3</v>
      </c>
      <c r="M16" s="29"/>
      <c r="N16" s="29"/>
      <c r="O16" s="29"/>
      <c r="P16" s="31"/>
      <c r="Q16" s="32">
        <f t="shared" si="2"/>
        <v>6</v>
      </c>
    </row>
    <row r="17" spans="1:17" x14ac:dyDescent="0.25">
      <c r="A17" s="28">
        <v>14</v>
      </c>
      <c r="B17" s="37" t="s">
        <v>635</v>
      </c>
      <c r="C17" s="28" t="s">
        <v>12</v>
      </c>
      <c r="D17" s="29"/>
      <c r="E17" s="29"/>
      <c r="F17" s="29"/>
      <c r="G17" s="29"/>
      <c r="H17" s="31"/>
      <c r="I17" s="29">
        <f>2.3+2.4+2.6+4.2+4.2+4.2</f>
        <v>19.899999999999999</v>
      </c>
      <c r="J17" s="29">
        <f>2.1+2.1+2.1+4+4+4.1</f>
        <v>18.399999999999999</v>
      </c>
      <c r="K17" s="29">
        <f>SUM(I17:J17)</f>
        <v>38.299999999999997</v>
      </c>
      <c r="L17" s="31">
        <v>3</v>
      </c>
      <c r="M17" s="29"/>
      <c r="N17" s="29"/>
      <c r="O17" s="29"/>
      <c r="P17" s="31"/>
      <c r="Q17" s="32">
        <f t="shared" si="2"/>
        <v>3</v>
      </c>
    </row>
    <row r="18" spans="1:17" x14ac:dyDescent="0.25">
      <c r="A18" s="28">
        <v>15</v>
      </c>
      <c r="B18" s="28" t="s">
        <v>768</v>
      </c>
      <c r="C18" s="28" t="s">
        <v>12</v>
      </c>
      <c r="D18" s="29"/>
      <c r="E18" s="29"/>
      <c r="F18" s="29"/>
      <c r="G18" s="29"/>
      <c r="H18" s="31"/>
      <c r="I18" s="29"/>
      <c r="J18" s="29"/>
      <c r="K18" s="29"/>
      <c r="L18" s="31"/>
      <c r="M18" s="29"/>
      <c r="N18" s="29"/>
      <c r="O18" s="29"/>
      <c r="P18" s="31"/>
      <c r="Q18" s="32">
        <f t="shared" si="2"/>
        <v>0</v>
      </c>
    </row>
  </sheetData>
  <sortState ref="B4:Q16">
    <sortCondition descending="1" ref="Q4:Q16"/>
  </sortState>
  <mergeCells count="1">
    <mergeCell ref="A1:G1"/>
  </mergeCells>
  <pageMargins left="0.25" right="0.25" top="0.75" bottom="0.75" header="0.3" footer="0.3"/>
  <pageSetup paperSize="9"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8.85546875" customWidth="1"/>
    <col min="4" max="6" width="7.42578125" bestFit="1" customWidth="1"/>
    <col min="8" max="8" width="19.140625" customWidth="1"/>
    <col min="9" max="9" width="8.28515625" customWidth="1"/>
    <col min="10" max="10" width="8.5703125" customWidth="1"/>
    <col min="11" max="11" width="12.5703125" customWidth="1"/>
    <col min="12" max="12" width="18.140625" customWidth="1"/>
    <col min="13" max="13" width="8" customWidth="1"/>
    <col min="14" max="14" width="8.5703125" customWidth="1"/>
    <col min="16" max="16" width="18.42578125" customWidth="1"/>
    <col min="17" max="17" width="23.425781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3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187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771</v>
      </c>
      <c r="C6" s="28" t="s">
        <v>9</v>
      </c>
      <c r="D6" s="29">
        <v>23.4</v>
      </c>
      <c r="E6" s="29">
        <v>22.4</v>
      </c>
      <c r="F6" s="29">
        <v>21.8</v>
      </c>
      <c r="G6" s="29">
        <f t="shared" ref="G6" si="0">SUM(D6:F6)</f>
        <v>67.599999999999994</v>
      </c>
      <c r="H6" s="31">
        <v>23</v>
      </c>
      <c r="I6" s="29">
        <f>2.5+2.5+2.7+3.4+3.4+3.5</f>
        <v>18</v>
      </c>
      <c r="J6" s="29">
        <f>2.7+2.7+2.7+4.3+4+4.1</f>
        <v>20.5</v>
      </c>
      <c r="K6" s="29">
        <f>SUM(I6:J6)</f>
        <v>38.5</v>
      </c>
      <c r="L6" s="31">
        <v>23</v>
      </c>
      <c r="M6" s="29">
        <f>2.8+2.8+2.9+3.8+3.7+3.7</f>
        <v>19.7</v>
      </c>
      <c r="N6" s="29">
        <f>2.9+2.8+2.7+3.7+3.8+3.7</f>
        <v>19.599999999999998</v>
      </c>
      <c r="O6" s="29">
        <f>M6+N6</f>
        <v>39.299999999999997</v>
      </c>
      <c r="P6" s="31">
        <v>23</v>
      </c>
      <c r="Q6" s="32">
        <f>H6+L6+P6</f>
        <v>69</v>
      </c>
    </row>
    <row r="7" spans="1:17" x14ac:dyDescent="0.25">
      <c r="A7" s="28">
        <v>2</v>
      </c>
      <c r="B7" s="28" t="s">
        <v>637</v>
      </c>
      <c r="C7" s="28" t="s">
        <v>397</v>
      </c>
      <c r="D7" s="29"/>
      <c r="E7" s="29"/>
      <c r="F7" s="29"/>
      <c r="G7" s="29"/>
      <c r="H7" s="31"/>
      <c r="I7" s="29">
        <f>2.5+2.5+2.6+3.4+3.4+3.5</f>
        <v>17.899999999999999</v>
      </c>
      <c r="J7" s="29">
        <f>2.7+2.6+2.8+4.2+4.2+4</f>
        <v>20.5</v>
      </c>
      <c r="K7" s="29">
        <f>SUM(I7:J7)</f>
        <v>38.4</v>
      </c>
      <c r="L7" s="31">
        <v>18</v>
      </c>
      <c r="M7" s="29">
        <f>2.6+2.7+2.7+3.5+3.6+3.6</f>
        <v>18.7</v>
      </c>
      <c r="N7" s="29">
        <f>2.8+2.6+2.6+3.9+3.6+3.6</f>
        <v>19.100000000000001</v>
      </c>
      <c r="O7" s="29">
        <f>M7+N7</f>
        <v>37.799999999999997</v>
      </c>
      <c r="P7" s="31">
        <v>18</v>
      </c>
      <c r="Q7" s="32">
        <f>H7+L7+P7</f>
        <v>36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4" sqref="A4:XFD4"/>
    </sheetView>
  </sheetViews>
  <sheetFormatPr baseColWidth="10" defaultRowHeight="15" x14ac:dyDescent="0.25"/>
  <cols>
    <col min="1" max="1" width="3.5703125" customWidth="1"/>
    <col min="2" max="2" width="32.28515625" bestFit="1" customWidth="1"/>
    <col min="3" max="3" width="18.85546875" customWidth="1"/>
    <col min="4" max="6" width="7.42578125" bestFit="1" customWidth="1"/>
    <col min="8" max="8" width="19.140625" customWidth="1"/>
    <col min="9" max="9" width="5.7109375" customWidth="1"/>
    <col min="10" max="10" width="5" customWidth="1"/>
    <col min="12" max="12" width="19.85546875" customWidth="1"/>
    <col min="13" max="13" width="6" customWidth="1"/>
    <col min="14" max="14" width="5" customWidth="1"/>
    <col min="16" max="16" width="19.140625" customWidth="1"/>
    <col min="17" max="17" width="22.710937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9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174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136</v>
      </c>
      <c r="C6" s="28" t="s">
        <v>91</v>
      </c>
      <c r="D6" s="29">
        <v>23.1</v>
      </c>
      <c r="E6" s="29">
        <v>17.100000000000001</v>
      </c>
      <c r="F6" s="29">
        <v>17.2</v>
      </c>
      <c r="G6" s="29">
        <f>SUM(D6:F6)</f>
        <v>57.400000000000006</v>
      </c>
      <c r="H6" s="31">
        <v>13</v>
      </c>
      <c r="I6" s="29">
        <f>2.6+2.6+2.6+3.4+3.4+3.5</f>
        <v>18.100000000000001</v>
      </c>
      <c r="J6" s="29">
        <f>2.6+2.5+2.5+3.9+4+4</f>
        <v>19.5</v>
      </c>
      <c r="K6" s="29">
        <f>SUM(I6:J6)</f>
        <v>37.6</v>
      </c>
      <c r="L6" s="31">
        <v>18</v>
      </c>
      <c r="M6" s="29">
        <f>2.5+2.4+2.3+3.6+3.3+3.3</f>
        <v>17.400000000000002</v>
      </c>
      <c r="N6" s="29">
        <f>2.4+2.6+2.5+3.4+3.6+3.6</f>
        <v>18.100000000000001</v>
      </c>
      <c r="O6" s="29">
        <f t="shared" ref="O6:O12" si="0">M6+N6</f>
        <v>35.5</v>
      </c>
      <c r="P6" s="31">
        <v>13</v>
      </c>
      <c r="Q6" s="32">
        <f t="shared" ref="Q6:Q18" si="1">H6+L6+P6</f>
        <v>44</v>
      </c>
    </row>
    <row r="7" spans="1:17" x14ac:dyDescent="0.25">
      <c r="A7" s="28">
        <v>2</v>
      </c>
      <c r="B7" s="28" t="s">
        <v>139</v>
      </c>
      <c r="C7" s="28" t="s">
        <v>29</v>
      </c>
      <c r="D7" s="29">
        <v>23.5</v>
      </c>
      <c r="E7" s="29">
        <v>16.3</v>
      </c>
      <c r="F7" s="29">
        <v>21.1</v>
      </c>
      <c r="G7" s="29">
        <f>SUM(D7:F7)</f>
        <v>60.9</v>
      </c>
      <c r="H7" s="31">
        <v>18</v>
      </c>
      <c r="I7" s="29"/>
      <c r="J7" s="29"/>
      <c r="K7" s="29"/>
      <c r="L7" s="31"/>
      <c r="M7" s="29">
        <f>2.5+2.5+2.4+3.4+3.6+3.4</f>
        <v>17.8</v>
      </c>
      <c r="N7" s="29">
        <f>2.5+2.5+2.5+3.5+3.5+3.5</f>
        <v>18</v>
      </c>
      <c r="O7" s="29">
        <f t="shared" si="0"/>
        <v>35.799999999999997</v>
      </c>
      <c r="P7" s="31">
        <v>18</v>
      </c>
      <c r="Q7" s="32">
        <f t="shared" si="1"/>
        <v>36</v>
      </c>
    </row>
    <row r="8" spans="1:17" x14ac:dyDescent="0.25">
      <c r="A8" s="28">
        <v>3</v>
      </c>
      <c r="B8" s="28" t="s">
        <v>135</v>
      </c>
      <c r="C8" s="28" t="s">
        <v>120</v>
      </c>
      <c r="D8" s="29">
        <v>23.6</v>
      </c>
      <c r="E8" s="29">
        <v>17.100000000000001</v>
      </c>
      <c r="F8" s="29">
        <v>20.5</v>
      </c>
      <c r="G8" s="29">
        <f>SUM(D8:F8)</f>
        <v>61.2</v>
      </c>
      <c r="H8" s="31">
        <v>23</v>
      </c>
      <c r="I8" s="29"/>
      <c r="J8" s="29"/>
      <c r="K8" s="29"/>
      <c r="L8" s="31"/>
      <c r="M8" s="29">
        <f>2.6+2.4+2.4+3.5+3.4+3.3</f>
        <v>17.600000000000001</v>
      </c>
      <c r="N8" s="29">
        <f>2.4+2.4+2.5+3.5+3.4+3.5</f>
        <v>17.700000000000003</v>
      </c>
      <c r="O8" s="29">
        <f t="shared" si="0"/>
        <v>35.300000000000004</v>
      </c>
      <c r="P8" s="31">
        <v>13</v>
      </c>
      <c r="Q8" s="32">
        <f t="shared" si="1"/>
        <v>36</v>
      </c>
    </row>
    <row r="9" spans="1:17" x14ac:dyDescent="0.25">
      <c r="A9" s="28">
        <v>4</v>
      </c>
      <c r="B9" s="28" t="s">
        <v>133</v>
      </c>
      <c r="C9" s="28" t="s">
        <v>6</v>
      </c>
      <c r="D9" s="29">
        <v>22.3</v>
      </c>
      <c r="E9" s="29">
        <v>16.100000000000001</v>
      </c>
      <c r="F9" s="29">
        <v>17.5</v>
      </c>
      <c r="G9" s="29">
        <f>SUM(D9:F9)</f>
        <v>55.900000000000006</v>
      </c>
      <c r="H9" s="31">
        <v>3</v>
      </c>
      <c r="I9" s="29">
        <v>17.600000000000001</v>
      </c>
      <c r="J9" s="29">
        <v>20.399999999999999</v>
      </c>
      <c r="K9" s="29">
        <f>SUM(I9:J9)</f>
        <v>38</v>
      </c>
      <c r="L9" s="31">
        <v>23</v>
      </c>
      <c r="M9" s="29">
        <f>2.3+2.3+2.3+3.2+3.3+3.3</f>
        <v>16.7</v>
      </c>
      <c r="N9" s="29">
        <f>2.6+2.4+2.5+3.5+3.4+3.5</f>
        <v>17.899999999999999</v>
      </c>
      <c r="O9" s="29">
        <f t="shared" si="0"/>
        <v>34.599999999999994</v>
      </c>
      <c r="P9" s="31">
        <v>3</v>
      </c>
      <c r="Q9" s="32">
        <f t="shared" si="1"/>
        <v>29</v>
      </c>
    </row>
    <row r="10" spans="1:17" x14ac:dyDescent="0.25">
      <c r="A10" s="28">
        <v>5</v>
      </c>
      <c r="B10" s="28" t="s">
        <v>678</v>
      </c>
      <c r="C10" s="28" t="s">
        <v>660</v>
      </c>
      <c r="D10" s="29"/>
      <c r="E10" s="29"/>
      <c r="F10" s="29"/>
      <c r="G10" s="29"/>
      <c r="H10" s="31"/>
      <c r="I10" s="29"/>
      <c r="J10" s="29"/>
      <c r="K10" s="29"/>
      <c r="L10" s="31"/>
      <c r="M10" s="29">
        <f>2.3+2.5+2.6+3.5+3.5+3.6</f>
        <v>18</v>
      </c>
      <c r="N10" s="29">
        <f>2.5+2.5+2.6+3.5+3.5+3.7</f>
        <v>18.3</v>
      </c>
      <c r="O10" s="29">
        <f t="shared" si="0"/>
        <v>36.299999999999997</v>
      </c>
      <c r="P10" s="31">
        <v>23</v>
      </c>
      <c r="Q10" s="32">
        <f t="shared" si="1"/>
        <v>23</v>
      </c>
    </row>
    <row r="11" spans="1:17" x14ac:dyDescent="0.25">
      <c r="A11" s="28">
        <v>6</v>
      </c>
      <c r="B11" s="30" t="s">
        <v>394</v>
      </c>
      <c r="C11" s="28" t="s">
        <v>397</v>
      </c>
      <c r="D11" s="29"/>
      <c r="E11" s="29"/>
      <c r="F11" s="29"/>
      <c r="G11" s="29"/>
      <c r="H11" s="31"/>
      <c r="I11" s="29">
        <f>2.6+2.5+2.5+3.2+3.1+3.3</f>
        <v>17.2</v>
      </c>
      <c r="J11" s="29">
        <f>2.3+2.3+2.4+3.8+3.6+3.7</f>
        <v>18.100000000000001</v>
      </c>
      <c r="K11" s="29">
        <f>SUM(I11:J11)</f>
        <v>35.299999999999997</v>
      </c>
      <c r="L11" s="31">
        <v>13</v>
      </c>
      <c r="M11" s="29">
        <f>2.3+2.2+2+3.2+3.2+3.1</f>
        <v>15.999999999999998</v>
      </c>
      <c r="N11" s="29">
        <f>2.6+2.4+2.4+3.5+3.4+3.3</f>
        <v>17.600000000000001</v>
      </c>
      <c r="O11" s="29">
        <f t="shared" si="0"/>
        <v>33.6</v>
      </c>
      <c r="P11" s="31">
        <v>3</v>
      </c>
      <c r="Q11" s="32">
        <f t="shared" si="1"/>
        <v>16</v>
      </c>
    </row>
    <row r="12" spans="1:17" x14ac:dyDescent="0.25">
      <c r="A12" s="28">
        <v>7</v>
      </c>
      <c r="B12" s="30" t="s">
        <v>396</v>
      </c>
      <c r="C12" s="28" t="s">
        <v>6</v>
      </c>
      <c r="D12" s="29"/>
      <c r="E12" s="29"/>
      <c r="F12" s="29"/>
      <c r="G12" s="29"/>
      <c r="H12" s="31"/>
      <c r="I12" s="29">
        <f>2.4+2.4+2.4+3.1+3.1+3.2</f>
        <v>16.599999999999998</v>
      </c>
      <c r="J12" s="29">
        <f>2.3+2.4+2.3+3.7+3.4+3.9</f>
        <v>18</v>
      </c>
      <c r="K12" s="29">
        <f>SUM(I12:J12)</f>
        <v>34.599999999999994</v>
      </c>
      <c r="L12" s="31">
        <v>13</v>
      </c>
      <c r="M12" s="29">
        <f>2.1+2.2+2.2+3.1+3.2+3.2</f>
        <v>16</v>
      </c>
      <c r="N12" s="29">
        <f>2.4+2.3+2.4+3.4+3.3+3.3</f>
        <v>17.100000000000001</v>
      </c>
      <c r="O12" s="29">
        <f t="shared" si="0"/>
        <v>33.1</v>
      </c>
      <c r="P12" s="31">
        <v>3</v>
      </c>
      <c r="Q12" s="32">
        <f t="shared" si="1"/>
        <v>16</v>
      </c>
    </row>
    <row r="13" spans="1:17" x14ac:dyDescent="0.25">
      <c r="A13" s="28">
        <v>8</v>
      </c>
      <c r="B13" s="28" t="s">
        <v>137</v>
      </c>
      <c r="C13" s="28" t="s">
        <v>91</v>
      </c>
      <c r="D13" s="29">
        <v>23.5</v>
      </c>
      <c r="E13" s="29">
        <v>16.899999999999999</v>
      </c>
      <c r="F13" s="29">
        <v>18.600000000000001</v>
      </c>
      <c r="G13" s="29">
        <f>SUM(D13:F13)</f>
        <v>59</v>
      </c>
      <c r="H13" s="31">
        <v>13</v>
      </c>
      <c r="I13" s="29"/>
      <c r="J13" s="29"/>
      <c r="K13" s="29"/>
      <c r="L13" s="31"/>
      <c r="M13" s="29"/>
      <c r="N13" s="29"/>
      <c r="O13" s="29"/>
      <c r="P13" s="31"/>
      <c r="Q13" s="32">
        <f t="shared" si="1"/>
        <v>13</v>
      </c>
    </row>
    <row r="14" spans="1:17" x14ac:dyDescent="0.25">
      <c r="A14" s="28">
        <v>9</v>
      </c>
      <c r="B14" s="28" t="s">
        <v>134</v>
      </c>
      <c r="C14" s="28" t="s">
        <v>6</v>
      </c>
      <c r="D14" s="29">
        <v>21.4</v>
      </c>
      <c r="E14" s="29">
        <v>14.9</v>
      </c>
      <c r="F14" s="29">
        <v>16.2</v>
      </c>
      <c r="G14" s="29">
        <f>SUM(D14:F14)</f>
        <v>52.5</v>
      </c>
      <c r="H14" s="31">
        <v>3</v>
      </c>
      <c r="I14" s="29">
        <v>16.8</v>
      </c>
      <c r="J14" s="29">
        <v>17.5</v>
      </c>
      <c r="K14" s="29">
        <f>SUM(I14:J14)</f>
        <v>34.299999999999997</v>
      </c>
      <c r="L14" s="31">
        <v>3</v>
      </c>
      <c r="M14" s="29">
        <f>2.2+2.2+2.3+3.3+3.2+3.3</f>
        <v>16.5</v>
      </c>
      <c r="N14" s="29">
        <f>2.3+2.3+2.3+3.2+3.3+3.2</f>
        <v>16.599999999999998</v>
      </c>
      <c r="O14" s="29">
        <f>M14+N14</f>
        <v>33.099999999999994</v>
      </c>
      <c r="P14" s="31">
        <v>3</v>
      </c>
      <c r="Q14" s="32">
        <f t="shared" si="1"/>
        <v>9</v>
      </c>
    </row>
    <row r="15" spans="1:17" x14ac:dyDescent="0.25">
      <c r="A15" s="28">
        <v>10</v>
      </c>
      <c r="B15" s="28" t="s">
        <v>679</v>
      </c>
      <c r="C15" s="28" t="s">
        <v>663</v>
      </c>
      <c r="D15" s="29"/>
      <c r="E15" s="29"/>
      <c r="F15" s="29"/>
      <c r="G15" s="29"/>
      <c r="H15" s="31"/>
      <c r="I15" s="29"/>
      <c r="J15" s="29"/>
      <c r="K15" s="29"/>
      <c r="L15" s="31"/>
      <c r="M15" s="29">
        <f>2.2+2.3+2.1+3.3+3.2+3.1</f>
        <v>16.2</v>
      </c>
      <c r="N15" s="29">
        <f>2.4+2.5+2.4+3.4+3.5+3.4</f>
        <v>17.600000000000001</v>
      </c>
      <c r="O15" s="29">
        <f>M15+N15</f>
        <v>33.799999999999997</v>
      </c>
      <c r="P15" s="31">
        <v>3</v>
      </c>
      <c r="Q15" s="32">
        <f t="shared" si="1"/>
        <v>3</v>
      </c>
    </row>
    <row r="16" spans="1:17" x14ac:dyDescent="0.25">
      <c r="A16" s="28">
        <v>11</v>
      </c>
      <c r="B16" s="28" t="s">
        <v>676</v>
      </c>
      <c r="C16" s="28" t="s">
        <v>677</v>
      </c>
      <c r="D16" s="29"/>
      <c r="E16" s="29"/>
      <c r="F16" s="29"/>
      <c r="G16" s="29"/>
      <c r="H16" s="31"/>
      <c r="I16" s="29"/>
      <c r="J16" s="29"/>
      <c r="K16" s="29"/>
      <c r="L16" s="31"/>
      <c r="M16" s="29">
        <f>2.1+2+2+3.1+3.1+3</f>
        <v>15.299999999999999</v>
      </c>
      <c r="N16" s="29">
        <f>2.2+2.3+2.2+3.4+3.2+3.3</f>
        <v>16.600000000000001</v>
      </c>
      <c r="O16" s="29">
        <f>M16+N16</f>
        <v>31.9</v>
      </c>
      <c r="P16" s="31">
        <v>3</v>
      </c>
      <c r="Q16" s="32">
        <f t="shared" si="1"/>
        <v>3</v>
      </c>
    </row>
    <row r="17" spans="1:17" x14ac:dyDescent="0.25">
      <c r="A17" s="28">
        <v>12</v>
      </c>
      <c r="B17" s="28" t="s">
        <v>138</v>
      </c>
      <c r="C17" s="28" t="s">
        <v>12</v>
      </c>
      <c r="D17" s="29">
        <v>19.2</v>
      </c>
      <c r="E17" s="29">
        <v>14.2</v>
      </c>
      <c r="F17" s="29">
        <v>16.8</v>
      </c>
      <c r="G17" s="29">
        <f>SUM(D17:F17)</f>
        <v>50.2</v>
      </c>
      <c r="H17" s="31">
        <v>3</v>
      </c>
      <c r="I17" s="29"/>
      <c r="J17" s="29"/>
      <c r="K17" s="29"/>
      <c r="L17" s="31"/>
      <c r="M17" s="29"/>
      <c r="N17" s="29"/>
      <c r="O17" s="29"/>
      <c r="P17" s="31"/>
      <c r="Q17" s="32">
        <f t="shared" si="1"/>
        <v>3</v>
      </c>
    </row>
    <row r="18" spans="1:17" x14ac:dyDescent="0.25">
      <c r="A18" s="28">
        <v>13</v>
      </c>
      <c r="B18" s="28" t="s">
        <v>140</v>
      </c>
      <c r="C18" s="28" t="s">
        <v>141</v>
      </c>
      <c r="D18" s="29">
        <v>18.399999999999999</v>
      </c>
      <c r="E18" s="29">
        <v>14.9</v>
      </c>
      <c r="F18" s="29">
        <v>15.4</v>
      </c>
      <c r="G18" s="29">
        <f>SUM(D18:F18)</f>
        <v>48.699999999999996</v>
      </c>
      <c r="H18" s="31">
        <v>3</v>
      </c>
      <c r="I18" s="29"/>
      <c r="J18" s="29"/>
      <c r="K18" s="29"/>
      <c r="L18" s="31"/>
      <c r="M18" s="29"/>
      <c r="N18" s="29"/>
      <c r="O18" s="29"/>
      <c r="P18" s="31"/>
      <c r="Q18" s="32">
        <f t="shared" si="1"/>
        <v>3</v>
      </c>
    </row>
  </sheetData>
  <sortState ref="B4:Q16">
    <sortCondition descending="1" ref="Q4:Q16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24.7109375" customWidth="1"/>
    <col min="4" max="5" width="6.42578125" customWidth="1"/>
    <col min="6" max="6" width="6.28515625" customWidth="1"/>
    <col min="7" max="7" width="11.85546875" bestFit="1" customWidth="1"/>
    <col min="8" max="8" width="18" customWidth="1"/>
    <col min="9" max="9" width="7.7109375" customWidth="1"/>
    <col min="10" max="10" width="8" customWidth="1"/>
    <col min="12" max="12" width="17.5703125" customWidth="1"/>
    <col min="13" max="13" width="8.28515625" customWidth="1"/>
    <col min="14" max="14" width="8" customWidth="1"/>
    <col min="16" max="16" width="18.7109375" customWidth="1"/>
    <col min="17" max="17" width="23.140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3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283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37" t="s">
        <v>775</v>
      </c>
      <c r="C6" s="28" t="s">
        <v>9</v>
      </c>
      <c r="D6" s="29">
        <v>19.899999999999999</v>
      </c>
      <c r="E6" s="29">
        <v>20.399999999999999</v>
      </c>
      <c r="F6" s="29">
        <v>21.3</v>
      </c>
      <c r="G6" s="29">
        <f>SUM(D6:F6)</f>
        <v>61.599999999999994</v>
      </c>
      <c r="H6" s="31">
        <v>23</v>
      </c>
      <c r="I6" s="29">
        <f>2.6+2.7+3.6+4.5+4.5+4.6</f>
        <v>22.5</v>
      </c>
      <c r="J6" s="29">
        <f>2.6+2.6+2.5+4.6+4.7+4.5</f>
        <v>21.5</v>
      </c>
      <c r="K6" s="29">
        <f>SUM(I6:J6)</f>
        <v>44</v>
      </c>
      <c r="L6" s="31">
        <v>23</v>
      </c>
      <c r="M6" s="29">
        <f>2.7+2.8+2.7+3.8+3.8+3.8</f>
        <v>19.600000000000001</v>
      </c>
      <c r="N6" s="29">
        <f>3+3+2.7+4.1+4+3.7</f>
        <v>20.499999999999996</v>
      </c>
      <c r="O6" s="29">
        <f>M6+N6</f>
        <v>40.099999999999994</v>
      </c>
      <c r="P6" s="31">
        <v>18</v>
      </c>
      <c r="Q6" s="32">
        <f t="shared" ref="Q6:Q19" si="0">H6+L6+P6</f>
        <v>64</v>
      </c>
    </row>
    <row r="7" spans="1:17" x14ac:dyDescent="0.25">
      <c r="A7" s="28">
        <v>2</v>
      </c>
      <c r="B7" s="28" t="s">
        <v>280</v>
      </c>
      <c r="C7" s="28" t="s">
        <v>5</v>
      </c>
      <c r="D7" s="29">
        <v>19.5</v>
      </c>
      <c r="E7" s="29">
        <v>18.7</v>
      </c>
      <c r="F7" s="29">
        <v>20.5</v>
      </c>
      <c r="G7" s="29">
        <f>SUM(D7:F7)</f>
        <v>58.7</v>
      </c>
      <c r="H7" s="31">
        <v>18</v>
      </c>
      <c r="I7" s="29">
        <f>2.5+2.6+2.9+4.9+4.9+4.6</f>
        <v>22.4</v>
      </c>
      <c r="J7" s="29">
        <f>2.6+2.7+2.4+4.6+4.7+4.5</f>
        <v>21.5</v>
      </c>
      <c r="K7" s="29">
        <f>SUM(I7:J7)</f>
        <v>43.9</v>
      </c>
      <c r="L7" s="31">
        <v>18</v>
      </c>
      <c r="M7" s="29">
        <f>2.8+2.8+2.8+3.8+3.8+3.7</f>
        <v>19.7</v>
      </c>
      <c r="N7" s="29">
        <f>3.2+2.8+2.8+4.3+3.8+3.7</f>
        <v>20.6</v>
      </c>
      <c r="O7" s="29">
        <f>M7+N7</f>
        <v>40.299999999999997</v>
      </c>
      <c r="P7" s="31">
        <v>23</v>
      </c>
      <c r="Q7" s="32">
        <f t="shared" si="0"/>
        <v>59</v>
      </c>
    </row>
    <row r="8" spans="1:17" x14ac:dyDescent="0.25">
      <c r="A8" s="28">
        <v>3</v>
      </c>
      <c r="B8" s="28" t="s">
        <v>282</v>
      </c>
      <c r="C8" s="28" t="s">
        <v>26</v>
      </c>
      <c r="D8" s="29">
        <v>19.600000000000001</v>
      </c>
      <c r="E8" s="29">
        <v>16.899999999999999</v>
      </c>
      <c r="F8" s="29">
        <v>19.5</v>
      </c>
      <c r="G8" s="29">
        <f>SUM(D8:F8)</f>
        <v>56</v>
      </c>
      <c r="H8" s="31">
        <v>13</v>
      </c>
      <c r="I8" s="29">
        <f>2.4+2.5+2.7+4.5+4.3+4.5</f>
        <v>20.900000000000002</v>
      </c>
      <c r="J8" s="29">
        <f>2.5+2.6+2.5+4.8+4.7+4.6</f>
        <v>21.699999999999996</v>
      </c>
      <c r="K8" s="29">
        <f>SUM(I8:J8)</f>
        <v>42.599999999999994</v>
      </c>
      <c r="L8" s="31">
        <v>13</v>
      </c>
      <c r="M8" s="29">
        <f>2.9+2.8+2.8+4+3.7+3.7</f>
        <v>19.899999999999999</v>
      </c>
      <c r="N8" s="29">
        <f>2.9+2.7+2.6+3.9+3.8+3.6</f>
        <v>19.5</v>
      </c>
      <c r="O8" s="29">
        <f>M8+N8</f>
        <v>39.4</v>
      </c>
      <c r="P8" s="31">
        <v>13</v>
      </c>
      <c r="Q8" s="32">
        <f t="shared" si="0"/>
        <v>39</v>
      </c>
    </row>
    <row r="9" spans="1:17" x14ac:dyDescent="0.25">
      <c r="A9" s="28">
        <v>4</v>
      </c>
      <c r="B9" s="28" t="s">
        <v>639</v>
      </c>
      <c r="C9" s="28" t="s">
        <v>82</v>
      </c>
      <c r="D9" s="29"/>
      <c r="E9" s="29"/>
      <c r="F9" s="29"/>
      <c r="G9" s="29"/>
      <c r="H9" s="31"/>
      <c r="I9" s="29">
        <f>2.5+2.6+2.9+4.6+4.5+4.7</f>
        <v>21.8</v>
      </c>
      <c r="J9" s="29">
        <f>2.5+2.5+2.5+4.7+4.6+4.6</f>
        <v>21.4</v>
      </c>
      <c r="K9" s="29">
        <f>SUM(I9:J9)</f>
        <v>43.2</v>
      </c>
      <c r="L9" s="31">
        <v>13</v>
      </c>
      <c r="M9" s="29">
        <f>2.7+2.7+2.7+3.8+3.7+3.6</f>
        <v>19.200000000000003</v>
      </c>
      <c r="N9" s="29">
        <f>3+2.6+2.6+4+3.6+3.6</f>
        <v>19.399999999999999</v>
      </c>
      <c r="O9" s="29">
        <f>M9+N9</f>
        <v>38.6</v>
      </c>
      <c r="P9" s="31">
        <v>3</v>
      </c>
      <c r="Q9" s="32">
        <f t="shared" si="0"/>
        <v>16</v>
      </c>
    </row>
    <row r="10" spans="1:17" x14ac:dyDescent="0.25">
      <c r="A10" s="28">
        <v>5</v>
      </c>
      <c r="B10" s="28" t="s">
        <v>281</v>
      </c>
      <c r="C10" s="28" t="s">
        <v>15</v>
      </c>
      <c r="D10" s="29">
        <v>18.5</v>
      </c>
      <c r="E10" s="29">
        <v>16</v>
      </c>
      <c r="F10" s="29">
        <v>18.100000000000001</v>
      </c>
      <c r="G10" s="29">
        <f>SUM(D10:F10)</f>
        <v>52.6</v>
      </c>
      <c r="H10" s="31">
        <v>13</v>
      </c>
      <c r="I10" s="29">
        <f>2.5+2.5+2.6+4.4+4.3+4.2</f>
        <v>20.5</v>
      </c>
      <c r="J10" s="29">
        <f>2.4+2.4+2.3+4.3+4.3+4.3</f>
        <v>20</v>
      </c>
      <c r="K10" s="29">
        <f>SUM(I10:J10)</f>
        <v>40.5</v>
      </c>
      <c r="L10" s="31">
        <v>3</v>
      </c>
      <c r="M10" s="29"/>
      <c r="N10" s="29"/>
      <c r="O10" s="29"/>
      <c r="P10" s="31"/>
      <c r="Q10" s="32">
        <f t="shared" si="0"/>
        <v>16</v>
      </c>
    </row>
    <row r="11" spans="1:17" x14ac:dyDescent="0.25">
      <c r="A11" s="28">
        <v>6</v>
      </c>
      <c r="B11" s="28" t="s">
        <v>774</v>
      </c>
      <c r="C11" s="28" t="s">
        <v>95</v>
      </c>
      <c r="D11" s="29"/>
      <c r="E11" s="29"/>
      <c r="F11" s="29"/>
      <c r="G11" s="29"/>
      <c r="H11" s="31"/>
      <c r="I11" s="29"/>
      <c r="J11" s="29"/>
      <c r="K11" s="29"/>
      <c r="L11" s="31"/>
      <c r="M11" s="29">
        <f>2.7+2.8+2.8+3.8+3.8+3.7</f>
        <v>19.600000000000001</v>
      </c>
      <c r="N11" s="29">
        <f>2.9+2.8+2.5+3.9+3.9+3.5</f>
        <v>19.5</v>
      </c>
      <c r="O11" s="29">
        <f>M11+N11</f>
        <v>39.1</v>
      </c>
      <c r="P11" s="31">
        <v>13</v>
      </c>
      <c r="Q11" s="32">
        <f t="shared" si="0"/>
        <v>13</v>
      </c>
    </row>
    <row r="12" spans="1:17" x14ac:dyDescent="0.25">
      <c r="A12" s="28">
        <v>7</v>
      </c>
      <c r="B12" s="28" t="s">
        <v>640</v>
      </c>
      <c r="C12" s="28" t="s">
        <v>5</v>
      </c>
      <c r="D12" s="29"/>
      <c r="E12" s="29"/>
      <c r="F12" s="29"/>
      <c r="G12" s="29"/>
      <c r="H12" s="31"/>
      <c r="I12" s="29">
        <f>2.4+2.4+2.7+4.3+4.2+4.3</f>
        <v>20.3</v>
      </c>
      <c r="J12" s="29">
        <f>2.6+2.6+2.5+4.5+4.5+4.5</f>
        <v>21.2</v>
      </c>
      <c r="K12" s="29">
        <f>SUM(I12:J12)</f>
        <v>41.5</v>
      </c>
      <c r="L12" s="31">
        <v>3</v>
      </c>
      <c r="M12" s="29">
        <f>2.6+2.7+2.7+3.6+3.7+3.7</f>
        <v>19</v>
      </c>
      <c r="N12" s="29">
        <f>3+2.5+2.7+3.8+3.5+3.6</f>
        <v>19.100000000000001</v>
      </c>
      <c r="O12" s="29">
        <f>M12+N12</f>
        <v>38.1</v>
      </c>
      <c r="P12" s="31">
        <v>3</v>
      </c>
      <c r="Q12" s="32">
        <f t="shared" si="0"/>
        <v>6</v>
      </c>
    </row>
    <row r="13" spans="1:17" x14ac:dyDescent="0.25">
      <c r="A13" s="28">
        <v>8</v>
      </c>
      <c r="B13" s="28" t="s">
        <v>279</v>
      </c>
      <c r="C13" s="28" t="s">
        <v>29</v>
      </c>
      <c r="D13" s="29">
        <v>18.399999999999999</v>
      </c>
      <c r="E13" s="29">
        <v>17</v>
      </c>
      <c r="F13" s="29">
        <v>17.100000000000001</v>
      </c>
      <c r="G13" s="29">
        <f>SUM(D13:F13)</f>
        <v>52.5</v>
      </c>
      <c r="H13" s="31">
        <v>3</v>
      </c>
      <c r="I13" s="29"/>
      <c r="J13" s="29"/>
      <c r="K13" s="29"/>
      <c r="L13" s="31"/>
      <c r="M13" s="29">
        <f>2.7+2.7+2.6+3.5+3.6+3.5</f>
        <v>18.600000000000001</v>
      </c>
      <c r="N13" s="29">
        <f>2.6+2.5+2.5+3.5+3.6+3.5</f>
        <v>18.2</v>
      </c>
      <c r="O13" s="29">
        <f>M13+N13</f>
        <v>36.799999999999997</v>
      </c>
      <c r="P13" s="31">
        <v>3</v>
      </c>
      <c r="Q13" s="32">
        <f t="shared" si="0"/>
        <v>6</v>
      </c>
    </row>
    <row r="14" spans="1:17" x14ac:dyDescent="0.25">
      <c r="A14" s="28">
        <v>9</v>
      </c>
      <c r="B14" s="41" t="s">
        <v>782</v>
      </c>
      <c r="C14" s="28" t="s">
        <v>397</v>
      </c>
      <c r="D14" s="29"/>
      <c r="E14" s="29"/>
      <c r="F14" s="29"/>
      <c r="G14" s="29"/>
      <c r="H14" s="31"/>
      <c r="I14" s="29">
        <f>2.5+2.4+2.7+4.4+4.3+4.2</f>
        <v>20.5</v>
      </c>
      <c r="J14" s="29">
        <f>2.4+2.4+2.5+4.4+4.5+4.5</f>
        <v>20.7</v>
      </c>
      <c r="K14" s="29">
        <f>SUM(I14:J14)</f>
        <v>41.2</v>
      </c>
      <c r="L14" s="31">
        <v>3</v>
      </c>
      <c r="M14" s="29">
        <f>2.5+2.6+2.5+3.5+3.7+3.5</f>
        <v>18.3</v>
      </c>
      <c r="N14" s="29">
        <f>2.2+2.4+2.3+3.1+3.4+3.2</f>
        <v>16.600000000000001</v>
      </c>
      <c r="O14" s="29">
        <f>M14+N14</f>
        <v>34.900000000000006</v>
      </c>
      <c r="P14" s="31">
        <v>3</v>
      </c>
      <c r="Q14" s="32">
        <f t="shared" si="0"/>
        <v>6</v>
      </c>
    </row>
    <row r="15" spans="1:17" x14ac:dyDescent="0.25">
      <c r="A15" s="28">
        <v>10</v>
      </c>
      <c r="B15" s="37" t="s">
        <v>653</v>
      </c>
      <c r="C15" s="28" t="s">
        <v>29</v>
      </c>
      <c r="D15" s="29">
        <v>17.399999999999999</v>
      </c>
      <c r="E15" s="29">
        <v>17.2</v>
      </c>
      <c r="F15" s="29">
        <v>16.2</v>
      </c>
      <c r="G15" s="29">
        <f>SUM(D15:F15)</f>
        <v>50.8</v>
      </c>
      <c r="H15" s="31">
        <v>3</v>
      </c>
      <c r="I15" s="29">
        <f>2.3+2.3+2.5+4.2+4.1+4</f>
        <v>19.399999999999999</v>
      </c>
      <c r="J15" s="29">
        <f>2.3+2.3+2.4+4.4+4.3+4.3</f>
        <v>20</v>
      </c>
      <c r="K15" s="29">
        <f>SUM(I15:J15)</f>
        <v>39.4</v>
      </c>
      <c r="L15" s="31">
        <v>3</v>
      </c>
      <c r="M15" s="29"/>
      <c r="N15" s="29"/>
      <c r="O15" s="29"/>
      <c r="P15" s="31"/>
      <c r="Q15" s="32">
        <f t="shared" si="0"/>
        <v>6</v>
      </c>
    </row>
    <row r="16" spans="1:17" x14ac:dyDescent="0.25">
      <c r="A16" s="28">
        <v>11</v>
      </c>
      <c r="B16" s="28" t="s">
        <v>773</v>
      </c>
      <c r="C16" s="28" t="s">
        <v>663</v>
      </c>
      <c r="D16" s="29"/>
      <c r="E16" s="29"/>
      <c r="F16" s="29"/>
      <c r="G16" s="29"/>
      <c r="H16" s="31"/>
      <c r="I16" s="29"/>
      <c r="J16" s="29"/>
      <c r="K16" s="29"/>
      <c r="L16" s="31"/>
      <c r="M16" s="29">
        <f>2.7+2.7+2.8+3.6+3.7+3.7</f>
        <v>19.2</v>
      </c>
      <c r="N16" s="29">
        <f>3+2.5+2.7+4+3.5+3.6</f>
        <v>19.3</v>
      </c>
      <c r="O16" s="29">
        <f>M16+N16</f>
        <v>38.5</v>
      </c>
      <c r="P16" s="31">
        <v>3</v>
      </c>
      <c r="Q16" s="32">
        <f t="shared" si="0"/>
        <v>3</v>
      </c>
    </row>
    <row r="17" spans="1:17" x14ac:dyDescent="0.25">
      <c r="A17" s="28">
        <v>12</v>
      </c>
      <c r="B17" s="28" t="s">
        <v>772</v>
      </c>
      <c r="C17" s="28" t="s">
        <v>444</v>
      </c>
      <c r="D17" s="29"/>
      <c r="E17" s="29"/>
      <c r="F17" s="29"/>
      <c r="G17" s="29"/>
      <c r="H17" s="31"/>
      <c r="I17" s="29"/>
      <c r="J17" s="29"/>
      <c r="K17" s="29"/>
      <c r="L17" s="31"/>
      <c r="M17" s="29">
        <f>2.6+2.6+2.6+3.8+3.8+3.5</f>
        <v>18.900000000000002</v>
      </c>
      <c r="N17" s="29">
        <f>2.5+2.5+2.5+3.6+3.5+3.5</f>
        <v>18.100000000000001</v>
      </c>
      <c r="O17" s="29">
        <f>M17+N17</f>
        <v>37</v>
      </c>
      <c r="P17" s="31">
        <v>3</v>
      </c>
      <c r="Q17" s="32">
        <f t="shared" si="0"/>
        <v>3</v>
      </c>
    </row>
    <row r="18" spans="1:17" x14ac:dyDescent="0.25">
      <c r="A18" s="28">
        <v>13</v>
      </c>
      <c r="B18" s="28" t="s">
        <v>638</v>
      </c>
      <c r="C18" s="28" t="s">
        <v>15</v>
      </c>
      <c r="D18" s="29"/>
      <c r="E18" s="29"/>
      <c r="F18" s="29"/>
      <c r="G18" s="29"/>
      <c r="H18" s="31"/>
      <c r="I18" s="29">
        <f>2.5+2.6+2.7+4.3+4.4+4.3</f>
        <v>20.8</v>
      </c>
      <c r="J18" s="29">
        <f>2.5+2.5+2.5+4.5+4.5+4.4</f>
        <v>20.9</v>
      </c>
      <c r="K18" s="29">
        <f>SUM(I18:J18)</f>
        <v>41.7</v>
      </c>
      <c r="L18" s="31">
        <v>3</v>
      </c>
      <c r="M18" s="29"/>
      <c r="N18" s="29"/>
      <c r="O18" s="29"/>
      <c r="P18" s="31"/>
      <c r="Q18" s="32">
        <f t="shared" si="0"/>
        <v>3</v>
      </c>
    </row>
    <row r="19" spans="1:17" x14ac:dyDescent="0.25">
      <c r="A19" s="28">
        <v>14</v>
      </c>
      <c r="B19" s="28" t="s">
        <v>641</v>
      </c>
      <c r="C19" s="28" t="s">
        <v>67</v>
      </c>
      <c r="D19" s="29"/>
      <c r="E19" s="29"/>
      <c r="F19" s="29"/>
      <c r="G19" s="29"/>
      <c r="H19" s="31"/>
      <c r="I19" s="29">
        <f>2.4+2.5+2.7+4.4+4.4+4.4</f>
        <v>20.799999999999997</v>
      </c>
      <c r="J19" s="29">
        <f>2.3+2.3+2.4+4.5+4.5+4.5</f>
        <v>20.5</v>
      </c>
      <c r="K19" s="29">
        <f>SUM(I19:J19)</f>
        <v>41.3</v>
      </c>
      <c r="L19" s="31">
        <v>3</v>
      </c>
      <c r="M19" s="29"/>
      <c r="N19" s="29"/>
      <c r="O19" s="29"/>
      <c r="P19" s="31"/>
      <c r="Q19" s="32">
        <f t="shared" si="0"/>
        <v>3</v>
      </c>
    </row>
  </sheetData>
  <sortState ref="B4:Q17">
    <sortCondition descending="1" ref="Q4:Q17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42578125" customWidth="1"/>
    <col min="5" max="6" width="6.140625" customWidth="1"/>
    <col min="7" max="7" width="11.85546875" bestFit="1" customWidth="1"/>
    <col min="8" max="8" width="19" customWidth="1"/>
    <col min="9" max="9" width="8.7109375" customWidth="1"/>
    <col min="10" max="10" width="9" customWidth="1"/>
    <col min="12" max="12" width="18.140625" customWidth="1"/>
    <col min="13" max="13" width="7.5703125" customWidth="1"/>
    <col min="14" max="14" width="7.28515625" customWidth="1"/>
    <col min="16" max="16" width="18" customWidth="1"/>
    <col min="17" max="17" width="22.57031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9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286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28" t="s">
        <v>285</v>
      </c>
      <c r="C6" s="28" t="s">
        <v>9</v>
      </c>
      <c r="D6" s="29">
        <v>23.4</v>
      </c>
      <c r="E6" s="29">
        <v>23.9</v>
      </c>
      <c r="F6" s="29">
        <v>21.9</v>
      </c>
      <c r="G6" s="29">
        <f>SUM(D6:F6)</f>
        <v>69.199999999999989</v>
      </c>
      <c r="H6" s="31">
        <v>23</v>
      </c>
      <c r="I6" s="29">
        <f>2.7+2.8+2.6+4.6+4.6+4.4</f>
        <v>21.699999999999996</v>
      </c>
      <c r="J6" s="29">
        <f>2.9+2.9+2.8+4.8+4.9+4.8</f>
        <v>23.099999999999998</v>
      </c>
      <c r="K6" s="29">
        <f>SUM(I6:J6)</f>
        <v>44.8</v>
      </c>
      <c r="L6" s="31">
        <v>23</v>
      </c>
      <c r="M6" s="29">
        <f>2.8+2.8+2.8+3.9+3.9+3.8</f>
        <v>20</v>
      </c>
      <c r="N6" s="29">
        <f>2.8+2.9+2.8+3.9+3.9+3.7</f>
        <v>20</v>
      </c>
      <c r="O6" s="29">
        <f>M6+N6</f>
        <v>40</v>
      </c>
      <c r="P6" s="31">
        <v>23</v>
      </c>
      <c r="Q6" s="32">
        <f>H6+L6+P6</f>
        <v>69</v>
      </c>
    </row>
    <row r="7" spans="1:17" x14ac:dyDescent="0.25">
      <c r="A7" s="28">
        <v>2</v>
      </c>
      <c r="B7" s="28" t="s">
        <v>284</v>
      </c>
      <c r="C7" s="28" t="s">
        <v>9</v>
      </c>
      <c r="D7" s="29">
        <v>21.9</v>
      </c>
      <c r="E7" s="29">
        <v>19</v>
      </c>
      <c r="F7" s="29">
        <v>20.5</v>
      </c>
      <c r="G7" s="29">
        <f>SUM(D7:F7)</f>
        <v>61.4</v>
      </c>
      <c r="H7" s="31">
        <v>18</v>
      </c>
      <c r="I7" s="29">
        <f>2.6+2.6+2.8+4.5+4.5+4.6</f>
        <v>21.6</v>
      </c>
      <c r="J7" s="29">
        <f>2.6+2.6+2.5+4.5+4.5+4.6</f>
        <v>21.299999999999997</v>
      </c>
      <c r="K7" s="29">
        <f>SUM(I7:J7)</f>
        <v>42.9</v>
      </c>
      <c r="L7" s="31">
        <v>13</v>
      </c>
      <c r="M7" s="29">
        <f>2.7+2.7+2.8+3.6+3.8+3.8</f>
        <v>19.399999999999999</v>
      </c>
      <c r="N7" s="29">
        <f>2.4+2.5+2.6+3.7+3.5+3.7</f>
        <v>18.399999999999999</v>
      </c>
      <c r="O7" s="29">
        <f>M7+N7</f>
        <v>37.799999999999997</v>
      </c>
      <c r="P7" s="31">
        <v>13</v>
      </c>
      <c r="Q7" s="32">
        <f>H7+L7+P7</f>
        <v>44</v>
      </c>
    </row>
    <row r="8" spans="1:17" x14ac:dyDescent="0.25">
      <c r="A8" s="28">
        <v>3</v>
      </c>
      <c r="B8" s="28" t="s">
        <v>776</v>
      </c>
      <c r="C8" s="28" t="s">
        <v>397</v>
      </c>
      <c r="D8" s="29"/>
      <c r="E8" s="29"/>
      <c r="F8" s="29"/>
      <c r="G8" s="29">
        <f>SUM(D8:F8)</f>
        <v>0</v>
      </c>
      <c r="H8" s="31"/>
      <c r="I8" s="29">
        <f>2.5+2.6+2.7+4.5+4.4+4.2</f>
        <v>20.900000000000002</v>
      </c>
      <c r="J8" s="29">
        <f>2.7+2.7+2.6+4.7+4.7+4.6</f>
        <v>22</v>
      </c>
      <c r="K8" s="29">
        <f>SUM(I8:J8)</f>
        <v>42.900000000000006</v>
      </c>
      <c r="L8" s="31">
        <v>18</v>
      </c>
      <c r="M8" s="29">
        <f>2.7+2.7+2.7+3.7+3.7+3.7</f>
        <v>19.2</v>
      </c>
      <c r="N8" s="29">
        <f>2.7+2.6+2.7+3.8+3.6+3.7</f>
        <v>19.100000000000001</v>
      </c>
      <c r="O8" s="29">
        <f>M8+N8</f>
        <v>38.299999999999997</v>
      </c>
      <c r="P8" s="31">
        <v>18</v>
      </c>
      <c r="Q8" s="32">
        <f>H8+L8+P8</f>
        <v>36</v>
      </c>
    </row>
    <row r="9" spans="1:17" x14ac:dyDescent="0.25">
      <c r="A9" s="28">
        <v>4</v>
      </c>
      <c r="B9" s="28" t="s">
        <v>654</v>
      </c>
      <c r="C9" s="28" t="s">
        <v>29</v>
      </c>
      <c r="D9" s="29"/>
      <c r="E9" s="29"/>
      <c r="F9" s="29"/>
      <c r="G9" s="29">
        <f>SUM(D9:F9)</f>
        <v>0</v>
      </c>
      <c r="H9" s="31"/>
      <c r="I9" s="29">
        <f>2.4+2.4+2.7+4.4+4.1+4.2</f>
        <v>20.2</v>
      </c>
      <c r="J9" s="29">
        <f>2.5+2.5+2.5+4.5+4.5+4.4</f>
        <v>20.9</v>
      </c>
      <c r="K9" s="29">
        <f>SUM(I9:J9)</f>
        <v>41.099999999999994</v>
      </c>
      <c r="L9" s="31">
        <v>13</v>
      </c>
      <c r="M9" s="29"/>
      <c r="N9" s="29"/>
      <c r="O9" s="29">
        <f>M9+N9</f>
        <v>0</v>
      </c>
      <c r="P9" s="31"/>
      <c r="Q9" s="32">
        <f>H9+L9+P9</f>
        <v>13</v>
      </c>
    </row>
    <row r="10" spans="1:17" x14ac:dyDescent="0.25">
      <c r="A10" s="28">
        <v>5</v>
      </c>
      <c r="B10" s="28" t="s">
        <v>777</v>
      </c>
      <c r="C10" s="28" t="s">
        <v>12</v>
      </c>
      <c r="D10" s="29"/>
      <c r="E10" s="29"/>
      <c r="F10" s="29"/>
      <c r="G10" s="29">
        <f>SUM(D10:F10)</f>
        <v>0</v>
      </c>
      <c r="H10" s="31"/>
      <c r="I10" s="29"/>
      <c r="J10" s="29"/>
      <c r="K10" s="29">
        <f>SUM(I10:J10)</f>
        <v>0</v>
      </c>
      <c r="L10" s="31"/>
      <c r="M10" s="29">
        <f>2.4+2.5+2.5+3.4+3.5+3.5</f>
        <v>17.8</v>
      </c>
      <c r="N10" s="29">
        <f>2.3+2.2+2.4+3.4+3.1+3.3</f>
        <v>16.7</v>
      </c>
      <c r="O10" s="29">
        <f>M10+N10</f>
        <v>34.5</v>
      </c>
      <c r="P10" s="31">
        <v>13</v>
      </c>
      <c r="Q10" s="32">
        <f>H10+L10+P10</f>
        <v>13</v>
      </c>
    </row>
  </sheetData>
  <sortState ref="B4:Q8">
    <sortCondition descending="1" ref="Q4:Q8"/>
  </sortState>
  <mergeCells count="1">
    <mergeCell ref="A1:G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4" sqref="A4:XFD4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5703125" customWidth="1"/>
    <col min="5" max="5" width="6.28515625" customWidth="1"/>
    <col min="6" max="6" width="6.42578125" customWidth="1"/>
    <col min="7" max="7" width="11.85546875" bestFit="1" customWidth="1"/>
    <col min="8" max="8" width="18.85546875" customWidth="1"/>
    <col min="9" max="9" width="7.28515625" customWidth="1"/>
    <col min="10" max="10" width="8" customWidth="1"/>
    <col min="11" max="11" width="13.7109375" customWidth="1"/>
    <col min="12" max="12" width="19.85546875" customWidth="1"/>
    <col min="13" max="13" width="6.7109375" customWidth="1"/>
    <col min="14" max="14" width="6.5703125" customWidth="1"/>
    <col min="15" max="15" width="12" customWidth="1"/>
    <col min="16" max="16" width="18.140625" customWidth="1"/>
    <col min="17" max="17" width="23.140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9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363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37" t="s">
        <v>362</v>
      </c>
      <c r="C6" s="28" t="s">
        <v>5</v>
      </c>
      <c r="D6" s="29">
        <v>21.1</v>
      </c>
      <c r="E6" s="29">
        <v>22.1</v>
      </c>
      <c r="F6" s="29">
        <v>17.899999999999999</v>
      </c>
      <c r="G6" s="29">
        <f>SUM(D6:F6)</f>
        <v>61.1</v>
      </c>
      <c r="H6" s="31">
        <v>18</v>
      </c>
      <c r="I6" s="29">
        <f>2.6+2.7+2.6+4.5+4.3+4.3</f>
        <v>21</v>
      </c>
      <c r="J6" s="29">
        <f>2.5+2.5+2.5+4.5+4.5+4.5</f>
        <v>21</v>
      </c>
      <c r="K6" s="29">
        <f>SUM(I6:J6)</f>
        <v>42</v>
      </c>
      <c r="L6" s="31">
        <v>18</v>
      </c>
      <c r="M6" s="29">
        <f>2.6+2.7+2.7+3.5+3.7+3.6</f>
        <v>18.8</v>
      </c>
      <c r="N6" s="29">
        <f>2.5+2.4+2.3+3.6+3.4+3.4</f>
        <v>17.600000000000001</v>
      </c>
      <c r="O6" s="29">
        <f>M6+N6</f>
        <v>36.400000000000006</v>
      </c>
      <c r="P6" s="31">
        <v>13</v>
      </c>
      <c r="Q6" s="32">
        <f>H6+L6+P6</f>
        <v>49</v>
      </c>
    </row>
    <row r="7" spans="1:17" x14ac:dyDescent="0.25">
      <c r="A7" s="28">
        <v>2</v>
      </c>
      <c r="B7" s="28" t="s">
        <v>642</v>
      </c>
      <c r="C7" s="28" t="s">
        <v>82</v>
      </c>
      <c r="D7" s="29"/>
      <c r="E7" s="29"/>
      <c r="F7" s="29"/>
      <c r="G7" s="29">
        <f>SUM(D7:F7)</f>
        <v>0</v>
      </c>
      <c r="H7" s="31"/>
      <c r="I7" s="29">
        <f>2.7+2.8+2.8+4.5+4.5+4.6</f>
        <v>21.9</v>
      </c>
      <c r="J7" s="29">
        <f>2.7+2.7+2.6+4.8+4.7+4.7</f>
        <v>22.2</v>
      </c>
      <c r="K7" s="29">
        <f>SUM(I7:J7)</f>
        <v>44.099999999999994</v>
      </c>
      <c r="L7" s="31">
        <v>23</v>
      </c>
      <c r="M7" s="29">
        <f>2.7+2.7+2.7+3.6+3.7+3.6</f>
        <v>19.000000000000004</v>
      </c>
      <c r="N7" s="29">
        <f>2.5+2.6+2.6+3.6+3.5+3.7</f>
        <v>18.5</v>
      </c>
      <c r="O7" s="29">
        <f>M7+N7</f>
        <v>37.5</v>
      </c>
      <c r="P7" s="31">
        <v>18</v>
      </c>
      <c r="Q7" s="32">
        <f>H7+L7+P7</f>
        <v>41</v>
      </c>
    </row>
    <row r="8" spans="1:17" x14ac:dyDescent="0.25">
      <c r="A8" s="28">
        <v>3</v>
      </c>
      <c r="B8" s="28" t="s">
        <v>643</v>
      </c>
      <c r="C8" s="28" t="s">
        <v>397</v>
      </c>
      <c r="D8" s="29"/>
      <c r="E8" s="29"/>
      <c r="F8" s="29"/>
      <c r="G8" s="29">
        <f>SUM(D8:F8)</f>
        <v>0</v>
      </c>
      <c r="H8" s="31"/>
      <c r="I8" s="29">
        <f>2.6+2.6+2.5+4.4+4.3+4.2</f>
        <v>20.6</v>
      </c>
      <c r="J8" s="29">
        <f>2.5+2.5+2.5+4.5+4.5+4.5</f>
        <v>21</v>
      </c>
      <c r="K8" s="29">
        <f>SUM(I8:J8)</f>
        <v>41.6</v>
      </c>
      <c r="L8" s="31">
        <v>13</v>
      </c>
      <c r="M8" s="29">
        <f>2.8+2.8+2.7+3.7+3.8+3.7</f>
        <v>19.5</v>
      </c>
      <c r="N8" s="29">
        <f>2.6+2.6+2.6+3.6+3.5+3.6</f>
        <v>18.5</v>
      </c>
      <c r="O8" s="29">
        <f>M8+N8</f>
        <v>38</v>
      </c>
      <c r="P8" s="31">
        <v>23</v>
      </c>
      <c r="Q8" s="32">
        <f>H8+L8+P8</f>
        <v>36</v>
      </c>
    </row>
    <row r="9" spans="1:17" x14ac:dyDescent="0.25">
      <c r="A9" s="28">
        <v>5</v>
      </c>
      <c r="B9" s="28" t="s">
        <v>361</v>
      </c>
      <c r="C9" s="28" t="s">
        <v>9</v>
      </c>
      <c r="D9" s="29">
        <v>22.3</v>
      </c>
      <c r="E9" s="29">
        <v>24</v>
      </c>
      <c r="F9" s="29">
        <v>20.9</v>
      </c>
      <c r="G9" s="29">
        <f>SUM(D9:F9)</f>
        <v>67.199999999999989</v>
      </c>
      <c r="H9" s="31">
        <v>23</v>
      </c>
      <c r="I9" s="29"/>
      <c r="J9" s="29"/>
      <c r="K9" s="29">
        <f>SUM(I9:J9)</f>
        <v>0</v>
      </c>
      <c r="L9" s="31"/>
      <c r="M9" s="29"/>
      <c r="N9" s="29"/>
      <c r="O9" s="29">
        <f>M9+N9</f>
        <v>0</v>
      </c>
      <c r="P9" s="31"/>
      <c r="Q9" s="32">
        <f>H9+L9+P9</f>
        <v>23</v>
      </c>
    </row>
  </sheetData>
  <sortState ref="B4:Q7">
    <sortCondition descending="1" ref="Q4:Q7"/>
  </sortState>
  <mergeCells count="1">
    <mergeCell ref="A1:G1"/>
  </mergeCells>
  <pageMargins left="0.7" right="0.7" top="0.75" bottom="0.75" header="0.3" footer="0.3"/>
  <ignoredErrors>
    <ignoredError sqref="J7" formula="1"/>
    <ignoredError sqref="K9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G21" sqref="G21"/>
    </sheetView>
  </sheetViews>
  <sheetFormatPr baseColWidth="10" defaultRowHeight="15" x14ac:dyDescent="0.25"/>
  <cols>
    <col min="1" max="1" width="4.7109375" customWidth="1"/>
    <col min="2" max="2" width="33" bestFit="1" customWidth="1"/>
    <col min="3" max="3" width="18.85546875" bestFit="1" customWidth="1"/>
    <col min="4" max="4" width="6.28515625" customWidth="1"/>
    <col min="5" max="5" width="6" customWidth="1"/>
    <col min="6" max="6" width="6.42578125" customWidth="1"/>
    <col min="7" max="7" width="11.85546875" bestFit="1" customWidth="1"/>
    <col min="8" max="8" width="18.7109375" customWidth="1"/>
    <col min="9" max="9" width="7.140625" customWidth="1"/>
    <col min="10" max="10" width="7.42578125" customWidth="1"/>
    <col min="12" max="12" width="18.140625" customWidth="1"/>
    <col min="13" max="13" width="7" customWidth="1"/>
    <col min="14" max="14" width="7.7109375" customWidth="1"/>
    <col min="16" max="16" width="19.42578125" customWidth="1"/>
    <col min="17" max="17" width="24.28515625" customWidth="1"/>
  </cols>
  <sheetData>
    <row r="1" spans="1:17" x14ac:dyDescent="0.25">
      <c r="A1" s="45" t="s">
        <v>2</v>
      </c>
      <c r="B1" s="45"/>
      <c r="C1" s="45"/>
      <c r="D1" s="45"/>
      <c r="E1" s="45"/>
      <c r="F1" s="45"/>
      <c r="G1" s="45"/>
      <c r="H1" s="39"/>
    </row>
    <row r="2" spans="1:17" x14ac:dyDescent="0.25">
      <c r="A2" s="39"/>
      <c r="B2" s="39"/>
      <c r="C2" s="39"/>
      <c r="D2" s="39"/>
      <c r="E2" s="39"/>
      <c r="F2" s="39"/>
      <c r="G2" s="39"/>
      <c r="H2" s="39"/>
    </row>
    <row r="3" spans="1:17" ht="15.75" x14ac:dyDescent="0.25">
      <c r="B3" s="43" t="s">
        <v>364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28">
        <v>1</v>
      </c>
      <c r="B6" s="37" t="s">
        <v>779</v>
      </c>
      <c r="C6" s="28" t="s">
        <v>9</v>
      </c>
      <c r="D6" s="29"/>
      <c r="E6" s="29"/>
      <c r="F6" s="29"/>
      <c r="G6" s="29"/>
      <c r="H6" s="31"/>
      <c r="I6" s="29">
        <f>2.7+2.5+2.5+3.6+3.7+3.7</f>
        <v>18.7</v>
      </c>
      <c r="J6" s="29">
        <f>2.6+2.5+2.6+3.5+3.6+3.7</f>
        <v>18.5</v>
      </c>
      <c r="K6" s="29">
        <f>SUM(I6:J6)</f>
        <v>37.200000000000003</v>
      </c>
      <c r="L6" s="31">
        <v>23</v>
      </c>
      <c r="M6" s="29">
        <f>2.6+2.5+2.6+3.5+3.5+3.6</f>
        <v>18.3</v>
      </c>
      <c r="N6" s="29">
        <f>2.4+2.4+2.5+3.6+3.6+3.5</f>
        <v>18</v>
      </c>
      <c r="O6" s="29">
        <f>M6+N6</f>
        <v>36.299999999999997</v>
      </c>
      <c r="P6" s="31">
        <v>18</v>
      </c>
      <c r="Q6" s="32">
        <f t="shared" ref="Q6:Q11" si="0">H6+L6+P6</f>
        <v>41</v>
      </c>
    </row>
    <row r="7" spans="1:17" x14ac:dyDescent="0.25">
      <c r="A7" s="28">
        <v>2</v>
      </c>
      <c r="B7" s="37" t="s">
        <v>644</v>
      </c>
      <c r="C7" s="28" t="s">
        <v>95</v>
      </c>
      <c r="D7" s="29"/>
      <c r="E7" s="29"/>
      <c r="F7" s="29"/>
      <c r="G7" s="29"/>
      <c r="H7" s="31"/>
      <c r="I7" s="29">
        <f>2.6+2.4+2.4+3.7+3.7+3.3</f>
        <v>18.100000000000001</v>
      </c>
      <c r="J7" s="29">
        <f>2.6+2.6+2.6+3.4+3.5+3.5</f>
        <v>18.200000000000003</v>
      </c>
      <c r="K7" s="29">
        <f>SUM(I7:J7)</f>
        <v>36.300000000000004</v>
      </c>
      <c r="L7" s="31">
        <v>18</v>
      </c>
      <c r="M7" s="29">
        <f>2.6+2.6+2.6+3.5+3.6+3.5</f>
        <v>18.399999999999999</v>
      </c>
      <c r="N7" s="29">
        <f>2.5+2.5+2.6+3.7+3.7+3.7</f>
        <v>18.7</v>
      </c>
      <c r="O7" s="29">
        <f>M7+N7</f>
        <v>37.099999999999994</v>
      </c>
      <c r="P7" s="31">
        <v>23</v>
      </c>
      <c r="Q7" s="32">
        <f t="shared" si="0"/>
        <v>41</v>
      </c>
    </row>
    <row r="8" spans="1:17" x14ac:dyDescent="0.25">
      <c r="A8" s="28">
        <v>3</v>
      </c>
      <c r="B8" s="28" t="s">
        <v>366</v>
      </c>
      <c r="C8" s="28" t="s">
        <v>5</v>
      </c>
      <c r="D8" s="29">
        <v>17.899999999999999</v>
      </c>
      <c r="E8" s="29">
        <v>16.899999999999999</v>
      </c>
      <c r="F8" s="29">
        <v>20</v>
      </c>
      <c r="G8" s="29">
        <f>SUM(D8:F8)</f>
        <v>54.8</v>
      </c>
      <c r="H8" s="31">
        <v>23</v>
      </c>
      <c r="I8" s="29">
        <f>2.5+2.3+2.3+3.5+3.4+3.4</f>
        <v>17.399999999999999</v>
      </c>
      <c r="J8" s="29">
        <f>2.5+2.5+2.5+3.5+3.4+3.6</f>
        <v>18</v>
      </c>
      <c r="K8" s="29">
        <f>SUM(I8:J8)</f>
        <v>35.4</v>
      </c>
      <c r="L8" s="31">
        <v>13</v>
      </c>
      <c r="M8" s="29"/>
      <c r="N8" s="29"/>
      <c r="O8" s="29"/>
      <c r="P8" s="31"/>
      <c r="Q8" s="32">
        <f t="shared" si="0"/>
        <v>36</v>
      </c>
    </row>
    <row r="9" spans="1:17" x14ac:dyDescent="0.25">
      <c r="A9" s="28">
        <v>4</v>
      </c>
      <c r="B9" s="28" t="s">
        <v>365</v>
      </c>
      <c r="C9" s="28" t="s">
        <v>15</v>
      </c>
      <c r="D9" s="29">
        <v>17.600000000000001</v>
      </c>
      <c r="E9" s="29">
        <v>15.1</v>
      </c>
      <c r="F9" s="29">
        <v>14.3</v>
      </c>
      <c r="G9" s="29">
        <f>SUM(D9:F9)</f>
        <v>47</v>
      </c>
      <c r="H9" s="31">
        <v>18</v>
      </c>
      <c r="I9" s="29"/>
      <c r="J9" s="29"/>
      <c r="K9" s="29"/>
      <c r="L9" s="31"/>
      <c r="M9" s="29"/>
      <c r="N9" s="29"/>
      <c r="O9" s="29"/>
      <c r="P9" s="31"/>
      <c r="Q9" s="32">
        <f t="shared" si="0"/>
        <v>18</v>
      </c>
    </row>
    <row r="10" spans="1:17" x14ac:dyDescent="0.25">
      <c r="A10" s="28">
        <v>5</v>
      </c>
      <c r="B10" s="37" t="s">
        <v>645</v>
      </c>
      <c r="C10" s="28" t="s">
        <v>15</v>
      </c>
      <c r="D10" s="29"/>
      <c r="E10" s="29"/>
      <c r="F10" s="29"/>
      <c r="G10" s="29"/>
      <c r="H10" s="31"/>
      <c r="I10" s="29">
        <f>2.4+2.3+2.3+3.4+3.5+3.4</f>
        <v>17.299999999999997</v>
      </c>
      <c r="J10" s="29">
        <f>2.3+2.3+2.4+3.2+3.3+3.4</f>
        <v>16.899999999999999</v>
      </c>
      <c r="K10" s="29">
        <f>SUM(I10:J10)</f>
        <v>34.199999999999996</v>
      </c>
      <c r="L10" s="31">
        <v>13</v>
      </c>
      <c r="M10" s="29"/>
      <c r="N10" s="29"/>
      <c r="O10" s="29"/>
      <c r="P10" s="31"/>
      <c r="Q10" s="32">
        <f t="shared" si="0"/>
        <v>13</v>
      </c>
    </row>
    <row r="11" spans="1:17" x14ac:dyDescent="0.25">
      <c r="A11" s="28">
        <v>6</v>
      </c>
      <c r="B11" s="37" t="s">
        <v>778</v>
      </c>
      <c r="C11" s="28" t="s">
        <v>444</v>
      </c>
      <c r="D11" s="29"/>
      <c r="E11" s="29"/>
      <c r="F11" s="29"/>
      <c r="G11" s="29"/>
      <c r="H11" s="31"/>
      <c r="I11" s="29"/>
      <c r="J11" s="29"/>
      <c r="K11" s="29"/>
      <c r="L11" s="31"/>
      <c r="M11" s="29">
        <f>2.4+2.4+2.4+3.4+3.5+3.5</f>
        <v>17.600000000000001</v>
      </c>
      <c r="N11" s="29">
        <f>2+2+2.1+3+3+3.2</f>
        <v>15.3</v>
      </c>
      <c r="O11" s="29">
        <f>M11+N11</f>
        <v>32.900000000000006</v>
      </c>
      <c r="P11" s="31">
        <v>13</v>
      </c>
      <c r="Q11" s="32">
        <f t="shared" si="0"/>
        <v>13</v>
      </c>
    </row>
  </sheetData>
  <sortState ref="B4:Q9">
    <sortCondition descending="1" ref="Q4:Q9"/>
  </sortState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0.5703125" style="4" customWidth="1"/>
    <col min="3" max="3" width="21" style="4" customWidth="1"/>
    <col min="4" max="6" width="7.42578125" style="4" bestFit="1" customWidth="1"/>
    <col min="7" max="7" width="12.85546875" style="4" customWidth="1"/>
    <col min="8" max="8" width="17.85546875" style="4" customWidth="1"/>
    <col min="9" max="10" width="8.85546875" style="4" customWidth="1"/>
    <col min="11" max="11" width="11.42578125" style="4"/>
    <col min="12" max="12" width="18.28515625" style="4" customWidth="1"/>
    <col min="13" max="13" width="8.85546875" style="4" customWidth="1"/>
    <col min="14" max="14" width="9.140625" style="4" customWidth="1"/>
    <col min="15" max="15" width="11.42578125" style="4"/>
    <col min="16" max="16" width="18.140625" style="4" customWidth="1"/>
    <col min="17" max="17" width="24.5703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178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113</v>
      </c>
      <c r="C6" s="12" t="s">
        <v>6</v>
      </c>
      <c r="D6" s="13">
        <v>18.5</v>
      </c>
      <c r="E6" s="13">
        <v>19.5</v>
      </c>
      <c r="F6" s="13">
        <v>18.3</v>
      </c>
      <c r="G6" s="13">
        <f>SUM(D6:F6)</f>
        <v>56.3</v>
      </c>
      <c r="H6" s="14">
        <v>23</v>
      </c>
      <c r="I6" s="13">
        <f>2.6+2.5+2.8+4.5+4.2+4.3</f>
        <v>20.9</v>
      </c>
      <c r="J6" s="13">
        <f>2.5+2.6+2.4+4.5+4.4</f>
        <v>16.399999999999999</v>
      </c>
      <c r="K6" s="13">
        <f>SUM(I6:J6)</f>
        <v>37.299999999999997</v>
      </c>
      <c r="L6" s="14">
        <v>3</v>
      </c>
      <c r="M6" s="13">
        <f>2.5+2.5+2.4+3.5+3.5+3.4</f>
        <v>17.8</v>
      </c>
      <c r="N6" s="13">
        <f>2.7+2.8+2.9+3.9+3.9+3.7</f>
        <v>19.899999999999999</v>
      </c>
      <c r="O6" s="13">
        <f>M6+N6</f>
        <v>37.700000000000003</v>
      </c>
      <c r="P6" s="14">
        <v>18</v>
      </c>
      <c r="Q6" s="15">
        <f t="shared" ref="Q6:Q18" si="0">H6+L6+P6</f>
        <v>44</v>
      </c>
    </row>
    <row r="7" spans="1:17" x14ac:dyDescent="0.25">
      <c r="A7" s="12">
        <v>2</v>
      </c>
      <c r="B7" s="12" t="s">
        <v>116</v>
      </c>
      <c r="C7" s="12" t="s">
        <v>9</v>
      </c>
      <c r="D7" s="13">
        <v>18.2</v>
      </c>
      <c r="E7" s="13">
        <v>18.399999999999999</v>
      </c>
      <c r="F7" s="13">
        <v>17.5</v>
      </c>
      <c r="G7" s="13">
        <f>SUM(D7:F7)</f>
        <v>54.099999999999994</v>
      </c>
      <c r="H7" s="14">
        <v>18</v>
      </c>
      <c r="I7" s="13"/>
      <c r="J7" s="13"/>
      <c r="K7" s="13"/>
      <c r="L7" s="14"/>
      <c r="M7" s="13">
        <f>2.8+2.8+2.8+3.8+3.8+3.8</f>
        <v>19.8</v>
      </c>
      <c r="N7" s="13">
        <f>2.7+2.7+2.8+3.9+3.8+3.7</f>
        <v>19.599999999999998</v>
      </c>
      <c r="O7" s="13">
        <f>M7+N7</f>
        <v>39.4</v>
      </c>
      <c r="P7" s="14">
        <v>23</v>
      </c>
      <c r="Q7" s="15">
        <f t="shared" si="0"/>
        <v>41</v>
      </c>
    </row>
    <row r="8" spans="1:17" x14ac:dyDescent="0.25">
      <c r="A8" s="12">
        <v>3</v>
      </c>
      <c r="B8" s="12" t="s">
        <v>117</v>
      </c>
      <c r="C8" s="12" t="s">
        <v>5</v>
      </c>
      <c r="D8" s="13">
        <v>16</v>
      </c>
      <c r="E8" s="13">
        <v>17.8</v>
      </c>
      <c r="F8" s="13">
        <v>15.8</v>
      </c>
      <c r="G8" s="13">
        <f>SUM(D8:F8)</f>
        <v>49.599999999999994</v>
      </c>
      <c r="H8" s="14">
        <v>13</v>
      </c>
      <c r="I8" s="13">
        <f>2.4+2.5+2.6+4.4+4.2+4.1</f>
        <v>20.200000000000003</v>
      </c>
      <c r="J8" s="13">
        <f>2.2+2.3+2.3+4.3+4.3+4.2</f>
        <v>19.599999999999998</v>
      </c>
      <c r="K8" s="13">
        <f>SUM(I8:J8)</f>
        <v>39.799999999999997</v>
      </c>
      <c r="L8" s="14">
        <v>13</v>
      </c>
      <c r="M8" s="13"/>
      <c r="N8" s="13"/>
      <c r="O8" s="13"/>
      <c r="P8" s="14"/>
      <c r="Q8" s="15">
        <f t="shared" si="0"/>
        <v>26</v>
      </c>
    </row>
    <row r="9" spans="1:17" x14ac:dyDescent="0.25">
      <c r="A9" s="12">
        <v>4</v>
      </c>
      <c r="B9" s="16" t="s">
        <v>399</v>
      </c>
      <c r="C9" s="12" t="s">
        <v>311</v>
      </c>
      <c r="D9" s="13"/>
      <c r="E9" s="13"/>
      <c r="F9" s="13"/>
      <c r="G9" s="13"/>
      <c r="H9" s="14"/>
      <c r="I9" s="13">
        <f>2.9+3.2+3.3+4.7+4.6+4.7</f>
        <v>23.399999999999995</v>
      </c>
      <c r="J9" s="13">
        <f>2.8+2.9+2.9+4.7+4.9+4.9</f>
        <v>23.1</v>
      </c>
      <c r="K9" s="13">
        <f>SUM(I9:J9)</f>
        <v>46.5</v>
      </c>
      <c r="L9" s="14">
        <v>23</v>
      </c>
      <c r="M9" s="13"/>
      <c r="N9" s="13"/>
      <c r="O9" s="13"/>
      <c r="P9" s="14"/>
      <c r="Q9" s="15">
        <f t="shared" si="0"/>
        <v>23</v>
      </c>
    </row>
    <row r="10" spans="1:17" x14ac:dyDescent="0.25">
      <c r="A10" s="12">
        <v>5</v>
      </c>
      <c r="B10" s="16" t="s">
        <v>131</v>
      </c>
      <c r="C10" s="12" t="s">
        <v>15</v>
      </c>
      <c r="D10" s="13"/>
      <c r="E10" s="13"/>
      <c r="F10" s="13"/>
      <c r="G10" s="13"/>
      <c r="H10" s="14"/>
      <c r="I10" s="13">
        <f>2.7+2.7+2.8+4.5+4.4+4.3</f>
        <v>21.400000000000002</v>
      </c>
      <c r="J10" s="13">
        <f>2.2+2.1+2.3+4.3+4.2+4.3</f>
        <v>19.400000000000002</v>
      </c>
      <c r="K10" s="13">
        <f>SUM(I10:J10)</f>
        <v>40.800000000000004</v>
      </c>
      <c r="L10" s="14">
        <v>18</v>
      </c>
      <c r="M10" s="13">
        <f>2.6+2.6+2.6+3.7+3.7+3.7</f>
        <v>18.899999999999999</v>
      </c>
      <c r="N10" s="13">
        <f>2.5+2.4+2.5+3.7+3.3+3.5</f>
        <v>17.900000000000002</v>
      </c>
      <c r="O10" s="13">
        <f>M10+N10</f>
        <v>36.799999999999997</v>
      </c>
      <c r="P10" s="14">
        <v>3</v>
      </c>
      <c r="Q10" s="15">
        <f t="shared" si="0"/>
        <v>21</v>
      </c>
    </row>
    <row r="11" spans="1:17" x14ac:dyDescent="0.25">
      <c r="A11" s="12">
        <v>6</v>
      </c>
      <c r="B11" s="16" t="s">
        <v>401</v>
      </c>
      <c r="C11" s="12" t="s">
        <v>67</v>
      </c>
      <c r="D11" s="13"/>
      <c r="E11" s="13"/>
      <c r="F11" s="13"/>
      <c r="G11" s="13"/>
      <c r="H11" s="14"/>
      <c r="I11" s="13">
        <f>2.3+2.2+2.2+4.3+4+3.4</f>
        <v>18.399999999999999</v>
      </c>
      <c r="J11" s="13">
        <f>2.2+2.1+2.2+4.2+4.1+4.2</f>
        <v>19</v>
      </c>
      <c r="K11" s="13">
        <f>SUM(I11:J11)</f>
        <v>37.4</v>
      </c>
      <c r="L11" s="14">
        <v>3</v>
      </c>
      <c r="M11" s="13">
        <f>2.6+2.6+2.6+3.6+3.6+3.6</f>
        <v>18.600000000000001</v>
      </c>
      <c r="N11" s="13">
        <f>2.6+2.5+2.6+3.6+3.5+3.5</f>
        <v>18.299999999999997</v>
      </c>
      <c r="O11" s="13">
        <f>M11+N11</f>
        <v>36.9</v>
      </c>
      <c r="P11" s="14">
        <v>13</v>
      </c>
      <c r="Q11" s="15">
        <f t="shared" si="0"/>
        <v>16</v>
      </c>
    </row>
    <row r="12" spans="1:17" x14ac:dyDescent="0.25">
      <c r="A12" s="12">
        <v>7</v>
      </c>
      <c r="B12" s="16" t="s">
        <v>669</v>
      </c>
      <c r="C12" s="12" t="s">
        <v>670</v>
      </c>
      <c r="D12" s="13"/>
      <c r="E12" s="13"/>
      <c r="F12" s="13"/>
      <c r="G12" s="13"/>
      <c r="H12" s="14"/>
      <c r="I12" s="13"/>
      <c r="J12" s="13"/>
      <c r="K12" s="13"/>
      <c r="L12" s="14"/>
      <c r="M12" s="13">
        <f>2.7+2.7+2.7+3.6+3.6+3.7</f>
        <v>19</v>
      </c>
      <c r="N12" s="13">
        <f>2.8+2.5+2.6+3.7+3.5+3.5</f>
        <v>18.600000000000001</v>
      </c>
      <c r="O12" s="13">
        <f>M12+N12</f>
        <v>37.6</v>
      </c>
      <c r="P12" s="14">
        <v>13</v>
      </c>
      <c r="Q12" s="15">
        <f t="shared" si="0"/>
        <v>13</v>
      </c>
    </row>
    <row r="13" spans="1:17" x14ac:dyDescent="0.25">
      <c r="A13" s="12">
        <v>8</v>
      </c>
      <c r="B13" s="16" t="s">
        <v>400</v>
      </c>
      <c r="C13" s="12" t="s">
        <v>311</v>
      </c>
      <c r="D13" s="13"/>
      <c r="E13" s="13"/>
      <c r="F13" s="13"/>
      <c r="G13" s="13"/>
      <c r="H13" s="14"/>
      <c r="I13" s="13">
        <f>2.5+2.5+2.6+4.4+4.2+4.1</f>
        <v>20.299999999999997</v>
      </c>
      <c r="J13" s="13">
        <f>2.3+2.3+2.3+4.4+4.2+4.3</f>
        <v>19.8</v>
      </c>
      <c r="K13" s="13">
        <f>SUM(I13:J13)</f>
        <v>40.099999999999994</v>
      </c>
      <c r="L13" s="14">
        <v>13</v>
      </c>
      <c r="M13" s="13"/>
      <c r="N13" s="13"/>
      <c r="O13" s="13"/>
      <c r="P13" s="14"/>
      <c r="Q13" s="15">
        <f t="shared" si="0"/>
        <v>13</v>
      </c>
    </row>
    <row r="14" spans="1:17" x14ac:dyDescent="0.25">
      <c r="A14" s="12">
        <v>9</v>
      </c>
      <c r="B14" s="12" t="s">
        <v>114</v>
      </c>
      <c r="C14" s="12" t="s">
        <v>12</v>
      </c>
      <c r="D14" s="13">
        <v>15</v>
      </c>
      <c r="E14" s="13">
        <v>16.7</v>
      </c>
      <c r="F14" s="13">
        <v>14.6</v>
      </c>
      <c r="G14" s="13">
        <f>SUM(D14:F14)</f>
        <v>46.3</v>
      </c>
      <c r="H14" s="14">
        <v>13</v>
      </c>
      <c r="I14" s="13"/>
      <c r="J14" s="13"/>
      <c r="K14" s="13"/>
      <c r="L14" s="14"/>
      <c r="M14" s="13"/>
      <c r="N14" s="13"/>
      <c r="O14" s="13"/>
      <c r="P14" s="14"/>
      <c r="Q14" s="15">
        <f t="shared" si="0"/>
        <v>13</v>
      </c>
    </row>
    <row r="15" spans="1:17" x14ac:dyDescent="0.25">
      <c r="A15" s="12">
        <v>10</v>
      </c>
      <c r="B15" s="12" t="s">
        <v>115</v>
      </c>
      <c r="C15" s="12" t="s">
        <v>15</v>
      </c>
      <c r="D15" s="13">
        <v>16.3</v>
      </c>
      <c r="E15" s="13">
        <v>16.8</v>
      </c>
      <c r="F15" s="13">
        <v>12.1</v>
      </c>
      <c r="G15" s="13">
        <f>SUM(D15:F15)</f>
        <v>45.2</v>
      </c>
      <c r="H15" s="14">
        <v>3</v>
      </c>
      <c r="I15" s="13">
        <f>2.4+2.3+2.3+4.3+3.8+3.4</f>
        <v>18.499999999999996</v>
      </c>
      <c r="J15" s="13">
        <f>2.2+2.1+2.2+4.2+4.1+4.2</f>
        <v>19</v>
      </c>
      <c r="K15" s="13">
        <f>SUM(I15:J15)</f>
        <v>37.5</v>
      </c>
      <c r="L15" s="14">
        <v>3</v>
      </c>
      <c r="M15" s="13">
        <f>2.5+2.6+2.4+3.5+3.6+3.5</f>
        <v>18.100000000000001</v>
      </c>
      <c r="N15" s="13">
        <f>2.3+2.2+2.3+3.4+3.2+3.3</f>
        <v>16.7</v>
      </c>
      <c r="O15" s="13">
        <f>M15+N15</f>
        <v>34.799999999999997</v>
      </c>
      <c r="P15" s="14">
        <v>3</v>
      </c>
      <c r="Q15" s="15">
        <f t="shared" si="0"/>
        <v>9</v>
      </c>
    </row>
    <row r="16" spans="1:17" x14ac:dyDescent="0.25">
      <c r="A16" s="12">
        <v>11</v>
      </c>
      <c r="B16" s="16" t="s">
        <v>681</v>
      </c>
      <c r="C16" s="12" t="s">
        <v>660</v>
      </c>
      <c r="D16" s="13"/>
      <c r="E16" s="13"/>
      <c r="F16" s="13"/>
      <c r="G16" s="13"/>
      <c r="H16" s="14"/>
      <c r="I16" s="13"/>
      <c r="J16" s="13"/>
      <c r="K16" s="13"/>
      <c r="L16" s="14"/>
      <c r="M16" s="13">
        <f>2.6+2.6+2.4+3.6+3.6+3.6</f>
        <v>18.399999999999999</v>
      </c>
      <c r="N16" s="13">
        <f>2.5+2.5+2.5+3.6+3.5+3.5</f>
        <v>18.100000000000001</v>
      </c>
      <c r="O16" s="13">
        <f>M16+N16</f>
        <v>36.5</v>
      </c>
      <c r="P16" s="14">
        <v>3</v>
      </c>
      <c r="Q16" s="15">
        <f t="shared" si="0"/>
        <v>3</v>
      </c>
    </row>
    <row r="17" spans="1:17" x14ac:dyDescent="0.25">
      <c r="A17" s="12">
        <v>12</v>
      </c>
      <c r="B17" s="16" t="s">
        <v>680</v>
      </c>
      <c r="C17" s="12" t="s">
        <v>660</v>
      </c>
      <c r="D17" s="13"/>
      <c r="E17" s="13"/>
      <c r="F17" s="13"/>
      <c r="G17" s="13"/>
      <c r="H17" s="14"/>
      <c r="I17" s="13"/>
      <c r="J17" s="13"/>
      <c r="K17" s="13"/>
      <c r="L17" s="14"/>
      <c r="M17" s="13">
        <f>2.4+2.5+2.4+3.4+3.5+3.5</f>
        <v>17.700000000000003</v>
      </c>
      <c r="N17" s="13">
        <f>2.4+2.4+2.5+3.4+3.4+3.4</f>
        <v>17.5</v>
      </c>
      <c r="O17" s="13">
        <f>M17+N17</f>
        <v>35.200000000000003</v>
      </c>
      <c r="P17" s="14">
        <v>3</v>
      </c>
      <c r="Q17" s="15">
        <f t="shared" si="0"/>
        <v>3</v>
      </c>
    </row>
    <row r="18" spans="1:17" x14ac:dyDescent="0.25">
      <c r="A18" s="12">
        <v>13</v>
      </c>
      <c r="B18" s="16" t="s">
        <v>398</v>
      </c>
      <c r="C18" s="12" t="s">
        <v>15</v>
      </c>
      <c r="D18" s="13"/>
      <c r="E18" s="13"/>
      <c r="F18" s="13"/>
      <c r="G18" s="13"/>
      <c r="H18" s="14"/>
      <c r="I18" s="13"/>
      <c r="J18" s="13"/>
      <c r="K18" s="13"/>
      <c r="L18" s="14"/>
      <c r="M18" s="13"/>
      <c r="N18" s="13"/>
      <c r="O18" s="13"/>
      <c r="P18" s="14"/>
      <c r="Q18" s="15">
        <f t="shared" si="0"/>
        <v>0</v>
      </c>
    </row>
  </sheetData>
  <sortState ref="B4:Q16">
    <sortCondition descending="1" ref="Q4:Q16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18.85546875" style="4" customWidth="1"/>
    <col min="4" max="4" width="6.85546875" style="4" customWidth="1"/>
    <col min="5" max="5" width="6.5703125" style="4" customWidth="1"/>
    <col min="6" max="6" width="6.140625" style="4" customWidth="1"/>
    <col min="7" max="7" width="11.42578125" style="4"/>
    <col min="8" max="8" width="18.5703125" style="4" customWidth="1"/>
    <col min="9" max="9" width="7.7109375" style="4" customWidth="1"/>
    <col min="10" max="10" width="7.28515625" style="4" customWidth="1"/>
    <col min="11" max="11" width="11.42578125" style="4"/>
    <col min="12" max="12" width="18" style="4" customWidth="1"/>
    <col min="13" max="14" width="7.85546875" style="4" customWidth="1"/>
    <col min="15" max="15" width="11.42578125" style="4"/>
    <col min="16" max="16" width="18.42578125" style="4" customWidth="1"/>
    <col min="17" max="17" width="23.57031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177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111</v>
      </c>
      <c r="C6" s="12" t="s">
        <v>57</v>
      </c>
      <c r="D6" s="13">
        <v>25.3</v>
      </c>
      <c r="E6" s="13">
        <v>18.8</v>
      </c>
      <c r="F6" s="13">
        <v>20.8</v>
      </c>
      <c r="G6" s="13">
        <f>SUM(D6:F6)</f>
        <v>64.900000000000006</v>
      </c>
      <c r="H6" s="14">
        <v>23</v>
      </c>
      <c r="I6" s="13"/>
      <c r="J6" s="13"/>
      <c r="K6" s="13"/>
      <c r="L6" s="14"/>
      <c r="M6" s="13">
        <f>2.8+2.7+2.7+3.7+3.6+3.6</f>
        <v>19.099999999999998</v>
      </c>
      <c r="N6" s="13">
        <f>2.5+2.6+2.7+3.5+3.6+3.6</f>
        <v>18.5</v>
      </c>
      <c r="O6" s="13">
        <f>M6+N6</f>
        <v>37.599999999999994</v>
      </c>
      <c r="P6" s="14">
        <v>23</v>
      </c>
      <c r="Q6" s="15">
        <f t="shared" ref="Q6:Q18" si="0">H6+L6+P6</f>
        <v>46</v>
      </c>
    </row>
    <row r="7" spans="1:17" x14ac:dyDescent="0.25">
      <c r="A7" s="12">
        <v>2</v>
      </c>
      <c r="B7" s="16" t="s">
        <v>403</v>
      </c>
      <c r="C7" s="12" t="s">
        <v>9</v>
      </c>
      <c r="D7" s="13"/>
      <c r="E7" s="13"/>
      <c r="F7" s="13"/>
      <c r="G7" s="13"/>
      <c r="H7" s="14"/>
      <c r="I7" s="13">
        <f>2.6+2.6+2.6+3.4+3.4+3.5</f>
        <v>18.100000000000001</v>
      </c>
      <c r="J7" s="13">
        <f>2.6+2.7+2.5+4.3+4.3+4.1</f>
        <v>20.5</v>
      </c>
      <c r="K7" s="13">
        <f>SUM(I7:J7)</f>
        <v>38.6</v>
      </c>
      <c r="L7" s="14">
        <v>18</v>
      </c>
      <c r="M7" s="13">
        <f>2.7+2.5+2.5+3.7+3.5+3.5</f>
        <v>18.399999999999999</v>
      </c>
      <c r="N7" s="13">
        <f>2.6+2.6+2.6+3.7+3.6+3.6</f>
        <v>18.7</v>
      </c>
      <c r="O7" s="13">
        <f>M7+N7</f>
        <v>37.099999999999994</v>
      </c>
      <c r="P7" s="14">
        <v>18</v>
      </c>
      <c r="Q7" s="15">
        <f t="shared" si="0"/>
        <v>36</v>
      </c>
    </row>
    <row r="8" spans="1:17" x14ac:dyDescent="0.25">
      <c r="A8" s="12">
        <v>3</v>
      </c>
      <c r="B8" s="16" t="s">
        <v>405</v>
      </c>
      <c r="C8" s="12" t="s">
        <v>6</v>
      </c>
      <c r="D8" s="13"/>
      <c r="E8" s="13"/>
      <c r="F8" s="13"/>
      <c r="G8" s="13"/>
      <c r="H8" s="14"/>
      <c r="I8" s="13">
        <f>2.7+2.7+2.6+3.5+3.5+3.6</f>
        <v>18.600000000000001</v>
      </c>
      <c r="J8" s="13">
        <f>2.7+2.7+2.7+4.3+4.5+4.3</f>
        <v>21.200000000000003</v>
      </c>
      <c r="K8" s="13">
        <f>SUM(I8:J8)</f>
        <v>39.800000000000004</v>
      </c>
      <c r="L8" s="14">
        <v>23</v>
      </c>
      <c r="M8" s="13">
        <f>2.5+2.3+2.4+3.4+3.4+3.4</f>
        <v>17.399999999999999</v>
      </c>
      <c r="N8" s="13">
        <f>2.5+2.7+2.5+3.6+3.7+3.7</f>
        <v>18.7</v>
      </c>
      <c r="O8" s="13">
        <f>M8+N8</f>
        <v>36.099999999999994</v>
      </c>
      <c r="P8" s="14">
        <v>13</v>
      </c>
      <c r="Q8" s="15">
        <f t="shared" si="0"/>
        <v>36</v>
      </c>
    </row>
    <row r="9" spans="1:17" x14ac:dyDescent="0.25">
      <c r="A9" s="12">
        <v>4</v>
      </c>
      <c r="B9" s="12" t="s">
        <v>112</v>
      </c>
      <c r="C9" s="12" t="s">
        <v>6</v>
      </c>
      <c r="D9" s="13">
        <v>20.3</v>
      </c>
      <c r="E9" s="13">
        <v>15.2</v>
      </c>
      <c r="F9" s="13">
        <v>15.6</v>
      </c>
      <c r="G9" s="13">
        <f>SUM(D9:F9)</f>
        <v>51.1</v>
      </c>
      <c r="H9" s="14">
        <v>18</v>
      </c>
      <c r="I9" s="13">
        <f>2.7+2.7+2.7+3.5+3.6+3.6</f>
        <v>18.8</v>
      </c>
      <c r="J9" s="13">
        <f>2.4+2.3+2.4+4.2+4+3.8</f>
        <v>19.100000000000001</v>
      </c>
      <c r="K9" s="13">
        <f>SUM(I9:J9)</f>
        <v>37.900000000000006</v>
      </c>
      <c r="L9" s="14">
        <v>13</v>
      </c>
      <c r="M9" s="13">
        <f>2.7+2.5+2.4+3.5+3.4+3.5</f>
        <v>18</v>
      </c>
      <c r="N9" s="13">
        <f>2.5+2.4+2.5+3.6+3.4+3.4</f>
        <v>17.8</v>
      </c>
      <c r="O9" s="13">
        <f>M9+N9</f>
        <v>35.799999999999997</v>
      </c>
      <c r="P9" s="14">
        <v>3</v>
      </c>
      <c r="Q9" s="15">
        <f t="shared" si="0"/>
        <v>34</v>
      </c>
    </row>
    <row r="10" spans="1:17" x14ac:dyDescent="0.25">
      <c r="A10" s="12">
        <v>5</v>
      </c>
      <c r="B10" s="16" t="s">
        <v>402</v>
      </c>
      <c r="C10" s="12" t="s">
        <v>9</v>
      </c>
      <c r="D10" s="13"/>
      <c r="E10" s="13"/>
      <c r="F10" s="13"/>
      <c r="G10" s="13"/>
      <c r="H10" s="14"/>
      <c r="I10" s="13"/>
      <c r="J10" s="13"/>
      <c r="K10" s="13"/>
      <c r="L10" s="14"/>
      <c r="M10" s="13">
        <f>2.6+2.5+2.3+3.6+3.4+3.4</f>
        <v>17.8</v>
      </c>
      <c r="N10" s="13">
        <f>2.6+2.5+2.5+3.6+3.5+3.5</f>
        <v>18.2</v>
      </c>
      <c r="O10" s="13">
        <f>M10+N10</f>
        <v>36</v>
      </c>
      <c r="P10" s="14">
        <v>13</v>
      </c>
      <c r="Q10" s="15">
        <f t="shared" si="0"/>
        <v>13</v>
      </c>
    </row>
    <row r="11" spans="1:17" x14ac:dyDescent="0.25">
      <c r="A11" s="12">
        <v>6</v>
      </c>
      <c r="B11" s="16" t="s">
        <v>133</v>
      </c>
      <c r="C11" s="12" t="s">
        <v>6</v>
      </c>
      <c r="D11" s="13"/>
      <c r="E11" s="13"/>
      <c r="F11" s="13"/>
      <c r="G11" s="13"/>
      <c r="H11" s="14"/>
      <c r="I11" s="13">
        <f>2.6+2.5+2.5+3.3+3.3+3.4</f>
        <v>17.599999999999998</v>
      </c>
      <c r="J11" s="13">
        <f>2.6+2.5+2.5+4.5+4.3+4</f>
        <v>20.399999999999999</v>
      </c>
      <c r="K11" s="13">
        <f>SUM(I11:J11)</f>
        <v>38</v>
      </c>
      <c r="L11" s="14">
        <v>13</v>
      </c>
      <c r="M11" s="13"/>
      <c r="N11" s="13"/>
      <c r="O11" s="13"/>
      <c r="P11" s="14"/>
      <c r="Q11" s="15">
        <f t="shared" si="0"/>
        <v>13</v>
      </c>
    </row>
    <row r="12" spans="1:17" x14ac:dyDescent="0.25">
      <c r="A12" s="12">
        <v>7</v>
      </c>
      <c r="B12" s="16" t="s">
        <v>781</v>
      </c>
      <c r="C12" s="12" t="s">
        <v>660</v>
      </c>
      <c r="D12" s="13"/>
      <c r="E12" s="13"/>
      <c r="F12" s="13"/>
      <c r="G12" s="13"/>
      <c r="H12" s="14"/>
      <c r="I12" s="13"/>
      <c r="J12" s="13"/>
      <c r="K12" s="13"/>
      <c r="L12" s="14"/>
      <c r="M12" s="13">
        <f>2.2+2.4+2.3+3.2+3.3+3.2</f>
        <v>16.599999999999998</v>
      </c>
      <c r="N12" s="13">
        <f>2.4+2.4+2.6+3.5+3.4+3.6</f>
        <v>17.900000000000002</v>
      </c>
      <c r="O12" s="13">
        <f>M12+N12</f>
        <v>34.5</v>
      </c>
      <c r="P12" s="14">
        <v>3</v>
      </c>
      <c r="Q12" s="15">
        <f t="shared" si="0"/>
        <v>3</v>
      </c>
    </row>
    <row r="13" spans="1:17" x14ac:dyDescent="0.25">
      <c r="A13" s="12">
        <v>8</v>
      </c>
      <c r="B13" s="16" t="s">
        <v>682</v>
      </c>
      <c r="C13" s="12" t="s">
        <v>6</v>
      </c>
      <c r="D13" s="13"/>
      <c r="E13" s="13"/>
      <c r="F13" s="13"/>
      <c r="G13" s="13"/>
      <c r="H13" s="14"/>
      <c r="I13" s="13"/>
      <c r="J13" s="13"/>
      <c r="K13" s="13"/>
      <c r="L13" s="14"/>
      <c r="M13" s="13">
        <f>2.3+2.3+2.4+3.3+3.3+3.2</f>
        <v>16.8</v>
      </c>
      <c r="N13" s="13">
        <f>2.4+2.4+2.4+3.5+3.4+3.4</f>
        <v>17.5</v>
      </c>
      <c r="O13" s="13">
        <f>M13+N13</f>
        <v>34.299999999999997</v>
      </c>
      <c r="P13" s="14">
        <v>3</v>
      </c>
      <c r="Q13" s="15">
        <f t="shared" si="0"/>
        <v>3</v>
      </c>
    </row>
    <row r="14" spans="1:17" x14ac:dyDescent="0.25">
      <c r="A14" s="12">
        <v>9</v>
      </c>
      <c r="B14" s="16" t="s">
        <v>647</v>
      </c>
      <c r="C14" s="12" t="s">
        <v>6</v>
      </c>
      <c r="D14" s="13"/>
      <c r="E14" s="13"/>
      <c r="F14" s="13"/>
      <c r="G14" s="13"/>
      <c r="H14" s="14"/>
      <c r="I14" s="13">
        <f>2.5+2.4+2.5+3.1+3.1+3.2</f>
        <v>16.8</v>
      </c>
      <c r="J14" s="13">
        <f>2.2+2.2+2.2+3.7+3.5+3.7</f>
        <v>17.5</v>
      </c>
      <c r="K14" s="13">
        <f>SUM(I14:J14)</f>
        <v>34.299999999999997</v>
      </c>
      <c r="L14" s="14">
        <v>3</v>
      </c>
      <c r="M14" s="13"/>
      <c r="N14" s="13"/>
      <c r="O14" s="13"/>
      <c r="P14" s="14"/>
      <c r="Q14" s="15">
        <f t="shared" si="0"/>
        <v>3</v>
      </c>
    </row>
    <row r="15" spans="1:17" x14ac:dyDescent="0.25">
      <c r="A15" s="12">
        <v>10</v>
      </c>
      <c r="B15" s="16" t="s">
        <v>404</v>
      </c>
      <c r="C15" s="12" t="s">
        <v>67</v>
      </c>
      <c r="D15" s="13"/>
      <c r="E15" s="13"/>
      <c r="F15" s="13"/>
      <c r="G15" s="13"/>
      <c r="H15" s="14"/>
      <c r="I15" s="13">
        <f>2.4+2.4+2.4+3.1+3.1+3.2</f>
        <v>16.599999999999998</v>
      </c>
      <c r="J15" s="13">
        <f>2.3+2.2+2.2+3.5+3.5+3.7</f>
        <v>17.399999999999999</v>
      </c>
      <c r="K15" s="13">
        <f>SUM(I15:J15)</f>
        <v>34</v>
      </c>
      <c r="L15" s="14">
        <v>3</v>
      </c>
      <c r="M15" s="13"/>
      <c r="N15" s="13"/>
      <c r="O15" s="13"/>
      <c r="P15" s="14"/>
      <c r="Q15" s="15">
        <f t="shared" si="0"/>
        <v>3</v>
      </c>
    </row>
    <row r="16" spans="1:17" x14ac:dyDescent="0.25">
      <c r="A16" s="12">
        <v>11</v>
      </c>
      <c r="B16" s="16" t="s">
        <v>408</v>
      </c>
      <c r="C16" s="12" t="s">
        <v>304</v>
      </c>
      <c r="D16" s="13"/>
      <c r="E16" s="13"/>
      <c r="F16" s="13"/>
      <c r="G16" s="13"/>
      <c r="H16" s="14"/>
      <c r="I16" s="13">
        <f>2.5+2.5+2.5+3.2+3.1+3.3</f>
        <v>17.099999999999998</v>
      </c>
      <c r="J16" s="13">
        <f>2.3+2.1+2.2+3.4+3+3.5</f>
        <v>16.5</v>
      </c>
      <c r="K16" s="13">
        <f>SUM(I16:J16)</f>
        <v>33.599999999999994</v>
      </c>
      <c r="L16" s="14">
        <v>3</v>
      </c>
      <c r="M16" s="13"/>
      <c r="N16" s="13"/>
      <c r="O16" s="13"/>
      <c r="P16" s="14"/>
      <c r="Q16" s="15">
        <f t="shared" si="0"/>
        <v>3</v>
      </c>
    </row>
    <row r="17" spans="1:17" x14ac:dyDescent="0.25">
      <c r="A17" s="12">
        <v>12</v>
      </c>
      <c r="B17" s="16" t="s">
        <v>406</v>
      </c>
      <c r="C17" s="12" t="s">
        <v>15</v>
      </c>
      <c r="D17" s="13"/>
      <c r="E17" s="13"/>
      <c r="F17" s="13"/>
      <c r="G17" s="13"/>
      <c r="H17" s="14"/>
      <c r="I17" s="13"/>
      <c r="J17" s="13"/>
      <c r="K17" s="13"/>
      <c r="L17" s="14"/>
      <c r="M17" s="13"/>
      <c r="N17" s="13"/>
      <c r="O17" s="13"/>
      <c r="P17" s="14"/>
      <c r="Q17" s="15">
        <f t="shared" si="0"/>
        <v>0</v>
      </c>
    </row>
    <row r="18" spans="1:17" x14ac:dyDescent="0.25">
      <c r="A18" s="12">
        <v>13</v>
      </c>
      <c r="B18" s="16" t="s">
        <v>407</v>
      </c>
      <c r="C18" s="12" t="s">
        <v>15</v>
      </c>
      <c r="D18" s="13"/>
      <c r="E18" s="13"/>
      <c r="F18" s="13"/>
      <c r="G18" s="13"/>
      <c r="H18" s="14"/>
      <c r="I18" s="13"/>
      <c r="J18" s="13"/>
      <c r="K18" s="13"/>
      <c r="L18" s="14"/>
      <c r="M18" s="13"/>
      <c r="N18" s="13"/>
      <c r="O18" s="13"/>
      <c r="P18" s="14"/>
      <c r="Q18" s="15">
        <f t="shared" si="0"/>
        <v>0</v>
      </c>
    </row>
  </sheetData>
  <sortState ref="B4:Q16">
    <sortCondition descending="1" ref="Q4:Q16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10.7109375" style="4" customWidth="1"/>
    <col min="4" max="4" width="5.7109375" style="4" customWidth="1"/>
    <col min="5" max="5" width="6.28515625" style="4" customWidth="1"/>
    <col min="6" max="6" width="6.140625" style="4" customWidth="1"/>
    <col min="7" max="7" width="11.42578125" style="4"/>
    <col min="8" max="8" width="19" style="4" customWidth="1"/>
    <col min="9" max="9" width="7.42578125" style="4" customWidth="1"/>
    <col min="10" max="10" width="7.7109375" style="4" customWidth="1"/>
    <col min="11" max="11" width="12.42578125" style="4" customWidth="1"/>
    <col min="12" max="12" width="18" style="4" customWidth="1"/>
    <col min="13" max="13" width="7.7109375" style="4" customWidth="1"/>
    <col min="14" max="14" width="8.5703125" style="4" customWidth="1"/>
    <col min="15" max="15" width="11.42578125" style="4"/>
    <col min="16" max="16" width="18.28515625" style="4" customWidth="1"/>
    <col min="17" max="17" width="22.710937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179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118</v>
      </c>
      <c r="C6" s="12" t="s">
        <v>6</v>
      </c>
      <c r="D6" s="13">
        <v>19.7</v>
      </c>
      <c r="E6" s="13">
        <v>13.8</v>
      </c>
      <c r="F6" s="13">
        <v>15.2</v>
      </c>
      <c r="G6" s="13">
        <f>SUM(D6:F6)</f>
        <v>48.7</v>
      </c>
      <c r="H6" s="14">
        <v>23</v>
      </c>
      <c r="I6" s="13">
        <f>2.5+2.5+2.5+3.2+3.3+3.2</f>
        <v>17.2</v>
      </c>
      <c r="J6" s="13">
        <f>2.4+2.6+2.4+3.9+4.2+3.8</f>
        <v>19.3</v>
      </c>
      <c r="K6" s="13">
        <f>SUM(I6:J6)</f>
        <v>36.5</v>
      </c>
      <c r="L6" s="14">
        <v>23</v>
      </c>
      <c r="M6" s="13">
        <f>2.6+2.5+2.4+3.5+3.5+3.4</f>
        <v>17.899999999999999</v>
      </c>
      <c r="N6" s="13">
        <f>2.6+2.5+2.5+3.5+3.5+3.6</f>
        <v>18.2</v>
      </c>
      <c r="O6" s="13">
        <f>M6+N6</f>
        <v>36.099999999999994</v>
      </c>
      <c r="P6" s="14">
        <v>23</v>
      </c>
      <c r="Q6" s="15">
        <f>H6+L6+P6</f>
        <v>69</v>
      </c>
    </row>
    <row r="7" spans="1:17" x14ac:dyDescent="0.25">
      <c r="A7" s="12">
        <v>2</v>
      </c>
      <c r="B7" s="16" t="s">
        <v>412</v>
      </c>
      <c r="C7" s="12" t="s">
        <v>6</v>
      </c>
      <c r="D7" s="13"/>
      <c r="E7" s="13"/>
      <c r="F7" s="13"/>
      <c r="G7" s="13"/>
      <c r="H7" s="14"/>
      <c r="I7" s="13">
        <f>2.5+2.5+2.5+3.2+3.3+3.4</f>
        <v>17.399999999999999</v>
      </c>
      <c r="J7" s="13">
        <f>2.4+2.4+2.3+3.9+3.5+3.7</f>
        <v>18.2</v>
      </c>
      <c r="K7" s="13">
        <f>SUM(I7:J7)</f>
        <v>35.599999999999994</v>
      </c>
      <c r="L7" s="14">
        <v>18</v>
      </c>
      <c r="M7" s="13">
        <f>2.4+2.3+2.2+3.3+3.2+3.2</f>
        <v>16.599999999999998</v>
      </c>
      <c r="N7" s="13">
        <f>2.5+2.4+2.4+3.5+3.4+3.4</f>
        <v>17.600000000000001</v>
      </c>
      <c r="O7" s="13">
        <f t="shared" ref="O7" si="0">M7+N7</f>
        <v>34.200000000000003</v>
      </c>
      <c r="P7" s="14">
        <v>18</v>
      </c>
      <c r="Q7" s="15">
        <f>H7+L7+P7</f>
        <v>36</v>
      </c>
    </row>
  </sheetData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32.28515625" style="4" bestFit="1" customWidth="1"/>
    <col min="3" max="3" width="18.85546875" style="4" customWidth="1"/>
    <col min="4" max="4" width="5.42578125" style="4" customWidth="1"/>
    <col min="5" max="6" width="6.42578125" style="4" customWidth="1"/>
    <col min="7" max="7" width="11.42578125" style="4"/>
    <col min="8" max="8" width="18.42578125" style="4" customWidth="1"/>
    <col min="9" max="9" width="8.5703125" style="4" customWidth="1"/>
    <col min="10" max="10" width="8.140625" style="4" customWidth="1"/>
    <col min="11" max="11" width="12.140625" style="4" customWidth="1"/>
    <col min="12" max="12" width="18.140625" style="4" customWidth="1"/>
    <col min="13" max="13" width="8" style="4" customWidth="1"/>
    <col min="14" max="14" width="8.85546875" style="4" customWidth="1"/>
    <col min="15" max="15" width="11.42578125" style="4"/>
    <col min="16" max="16" width="18.28515625" style="4" customWidth="1"/>
    <col min="17" max="17" width="24.2851562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409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6" t="s">
        <v>410</v>
      </c>
      <c r="C6" s="12" t="s">
        <v>6</v>
      </c>
      <c r="D6" s="13">
        <v>19.7</v>
      </c>
      <c r="E6" s="13">
        <v>13.8</v>
      </c>
      <c r="F6" s="13">
        <v>15.2</v>
      </c>
      <c r="G6" s="13">
        <f>SUM(D6:F6)</f>
        <v>48.7</v>
      </c>
      <c r="H6" s="14">
        <v>23</v>
      </c>
      <c r="I6" s="13">
        <f>2.4+2.4+2.4+3.1+3.1+3.1</f>
        <v>16.5</v>
      </c>
      <c r="J6" s="13">
        <f>2.2+2.2+2.2+3.6+3.3+3.6</f>
        <v>17.100000000000001</v>
      </c>
      <c r="K6" s="13">
        <f>SUM(I6:J6)</f>
        <v>33.6</v>
      </c>
      <c r="L6" s="14">
        <v>18</v>
      </c>
      <c r="M6" s="13">
        <f>2.6+2.5+2.4+3.6+3.4+3.4</f>
        <v>17.899999999999999</v>
      </c>
      <c r="N6" s="13">
        <f>2.4+2.2+2.3+3.4+3.1+3.2</f>
        <v>16.599999999999998</v>
      </c>
      <c r="O6" s="13">
        <f>M6+N6</f>
        <v>34.5</v>
      </c>
      <c r="P6" s="14">
        <v>18</v>
      </c>
      <c r="Q6" s="13">
        <f>H6+L6+P6</f>
        <v>59</v>
      </c>
    </row>
    <row r="7" spans="1:17" x14ac:dyDescent="0.25">
      <c r="A7" s="12">
        <v>2</v>
      </c>
      <c r="B7" s="16" t="s">
        <v>411</v>
      </c>
      <c r="C7" s="12" t="s">
        <v>53</v>
      </c>
      <c r="D7" s="13"/>
      <c r="E7" s="13"/>
      <c r="F7" s="13"/>
      <c r="G7" s="13"/>
      <c r="H7" s="14"/>
      <c r="I7" s="13">
        <f>2.5+2.5+2.5+3.2+3.2+3.2</f>
        <v>17.099999999999998</v>
      </c>
      <c r="J7" s="13">
        <f>2.3+2.3+2.4+3.7+3.6+4</f>
        <v>18.299999999999997</v>
      </c>
      <c r="K7" s="13">
        <f>SUM(I7:J7)</f>
        <v>35.399999999999991</v>
      </c>
      <c r="L7" s="14">
        <v>23</v>
      </c>
      <c r="M7" s="13">
        <f>2.6+2.5+2.5+3.6+3.5+3.5</f>
        <v>18.2</v>
      </c>
      <c r="N7" s="13">
        <f>2.5+2.4+2.5+3.7+3.3+3.4</f>
        <v>17.8</v>
      </c>
      <c r="O7" s="13">
        <f t="shared" ref="O7" si="0">M7+N7</f>
        <v>36</v>
      </c>
      <c r="P7" s="14">
        <v>23</v>
      </c>
      <c r="Q7" s="13">
        <f>H7+L7+P7</f>
        <v>46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A4" sqref="A4:XFD4"/>
    </sheetView>
  </sheetViews>
  <sheetFormatPr baseColWidth="10" defaultRowHeight="15" x14ac:dyDescent="0.25"/>
  <cols>
    <col min="1" max="1" width="3.5703125" style="4" customWidth="1"/>
    <col min="2" max="2" width="29.140625" style="4" customWidth="1"/>
    <col min="3" max="3" width="25.140625" style="4" customWidth="1"/>
    <col min="4" max="4" width="7" style="4" customWidth="1"/>
    <col min="5" max="5" width="6.28515625" style="4" customWidth="1"/>
    <col min="6" max="6" width="6.42578125" style="4" customWidth="1"/>
    <col min="7" max="7" width="12.7109375" style="4" customWidth="1"/>
    <col min="8" max="8" width="18.85546875" style="4" customWidth="1"/>
    <col min="9" max="9" width="7.140625" style="4" customWidth="1"/>
    <col min="10" max="10" width="6.7109375" style="4" customWidth="1"/>
    <col min="11" max="11" width="11.42578125" style="4"/>
    <col min="12" max="12" width="18.140625" style="4" customWidth="1"/>
    <col min="13" max="13" width="7.85546875" style="4" customWidth="1"/>
    <col min="14" max="14" width="8.7109375" style="4" customWidth="1"/>
    <col min="15" max="15" width="12.42578125" style="4" customWidth="1"/>
    <col min="16" max="16" width="18.42578125" style="4" customWidth="1"/>
    <col min="17" max="17" width="24.7109375" style="4" customWidth="1"/>
    <col min="18" max="16384" width="11.42578125" style="4"/>
  </cols>
  <sheetData>
    <row r="1" spans="1:17" x14ac:dyDescent="0.25">
      <c r="A1" s="44" t="s">
        <v>2</v>
      </c>
      <c r="B1" s="44"/>
      <c r="C1" s="44"/>
      <c r="D1" s="44"/>
      <c r="E1" s="44"/>
      <c r="F1" s="44"/>
      <c r="G1" s="44"/>
      <c r="H1" s="10"/>
    </row>
    <row r="2" spans="1:17" x14ac:dyDescent="0.25">
      <c r="A2" s="38"/>
      <c r="B2" s="38"/>
      <c r="C2" s="38"/>
      <c r="D2" s="38"/>
      <c r="E2" s="38"/>
      <c r="F2" s="38"/>
      <c r="G2" s="38"/>
      <c r="H2" s="38"/>
    </row>
    <row r="3" spans="1:17" ht="15.75" x14ac:dyDescent="0.25">
      <c r="B3" s="43" t="s">
        <v>180</v>
      </c>
    </row>
    <row r="4" spans="1:17" ht="15.75" x14ac:dyDescent="0.25">
      <c r="B4" s="43"/>
    </row>
    <row r="5" spans="1:17" x14ac:dyDescent="0.25">
      <c r="B5" s="21" t="s">
        <v>0</v>
      </c>
      <c r="C5" s="21" t="s">
        <v>1</v>
      </c>
      <c r="D5" s="17" t="s">
        <v>788</v>
      </c>
      <c r="E5" s="17" t="s">
        <v>789</v>
      </c>
      <c r="F5" s="17" t="s">
        <v>790</v>
      </c>
      <c r="G5" s="17" t="s">
        <v>3</v>
      </c>
      <c r="H5" s="25" t="s">
        <v>791</v>
      </c>
      <c r="I5" s="17" t="s">
        <v>788</v>
      </c>
      <c r="J5" s="17" t="s">
        <v>789</v>
      </c>
      <c r="K5" s="17" t="s">
        <v>382</v>
      </c>
      <c r="L5" s="25" t="s">
        <v>792</v>
      </c>
      <c r="M5" s="17" t="s">
        <v>788</v>
      </c>
      <c r="N5" s="17" t="s">
        <v>789</v>
      </c>
      <c r="O5" s="17" t="s">
        <v>667</v>
      </c>
      <c r="P5" s="25" t="s">
        <v>793</v>
      </c>
      <c r="Q5" s="26" t="s">
        <v>794</v>
      </c>
    </row>
    <row r="6" spans="1:17" x14ac:dyDescent="0.25">
      <c r="A6" s="12">
        <v>1</v>
      </c>
      <c r="B6" s="12" t="s">
        <v>101</v>
      </c>
      <c r="C6" s="12" t="s">
        <v>9</v>
      </c>
      <c r="D6" s="13">
        <v>19</v>
      </c>
      <c r="E6" s="13">
        <v>18.8</v>
      </c>
      <c r="F6" s="13">
        <v>16.5</v>
      </c>
      <c r="G6" s="13">
        <f t="shared" ref="G6:G16" si="0">SUM(D6:F6)</f>
        <v>54.3</v>
      </c>
      <c r="H6" s="14">
        <v>13</v>
      </c>
      <c r="I6" s="13">
        <f>3+3.1+3.1+3.9+4+4</f>
        <v>21.1</v>
      </c>
      <c r="J6" s="13">
        <f>2.9+2.9+2.8+3.9+3.9+3.8</f>
        <v>20.2</v>
      </c>
      <c r="K6" s="13">
        <f t="shared" ref="K6:K23" si="1">SUM(I6:J6)</f>
        <v>41.3</v>
      </c>
      <c r="L6" s="14">
        <v>23</v>
      </c>
      <c r="M6" s="13">
        <f>2.9+2.8+2.8+3.8+4+3.8</f>
        <v>20.100000000000001</v>
      </c>
      <c r="N6" s="13">
        <f>3.1+2.8+2.6+4.3+3.9+3.7</f>
        <v>20.399999999999999</v>
      </c>
      <c r="O6" s="13">
        <f>M6+N6</f>
        <v>40.5</v>
      </c>
      <c r="P6" s="14">
        <v>23</v>
      </c>
      <c r="Q6" s="15">
        <f t="shared" ref="Q6:Q30" si="2">H6+L6+P6</f>
        <v>59</v>
      </c>
    </row>
    <row r="7" spans="1:17" x14ac:dyDescent="0.25">
      <c r="A7" s="12">
        <v>2</v>
      </c>
      <c r="B7" s="12" t="s">
        <v>97</v>
      </c>
      <c r="C7" s="12" t="s">
        <v>6</v>
      </c>
      <c r="D7" s="13">
        <v>18.7</v>
      </c>
      <c r="E7" s="13">
        <v>18</v>
      </c>
      <c r="F7" s="13">
        <v>18.100000000000001</v>
      </c>
      <c r="G7" s="13">
        <f t="shared" si="0"/>
        <v>54.800000000000004</v>
      </c>
      <c r="H7" s="14">
        <v>23</v>
      </c>
      <c r="I7" s="13">
        <v>20.2</v>
      </c>
      <c r="J7" s="13">
        <v>18.399999999999999</v>
      </c>
      <c r="K7" s="13">
        <f t="shared" si="1"/>
        <v>38.599999999999994</v>
      </c>
      <c r="L7" s="14">
        <v>3</v>
      </c>
      <c r="M7" s="13">
        <f>2.8+2.8+2.8+3.8+3.8+3.8</f>
        <v>19.8</v>
      </c>
      <c r="N7" s="13">
        <f>2.8+2.8+2.8+3.9+3.7+3.7</f>
        <v>19.7</v>
      </c>
      <c r="O7" s="13">
        <f>M7+N7</f>
        <v>39.5</v>
      </c>
      <c r="P7" s="14">
        <v>13</v>
      </c>
      <c r="Q7" s="15">
        <f t="shared" si="2"/>
        <v>39</v>
      </c>
    </row>
    <row r="8" spans="1:17" x14ac:dyDescent="0.25">
      <c r="A8" s="12">
        <v>3</v>
      </c>
      <c r="B8" s="12" t="s">
        <v>104</v>
      </c>
      <c r="C8" s="12" t="s">
        <v>9</v>
      </c>
      <c r="D8" s="13">
        <v>19</v>
      </c>
      <c r="E8" s="13">
        <v>17.7</v>
      </c>
      <c r="F8" s="13">
        <v>16.2</v>
      </c>
      <c r="G8" s="13">
        <f t="shared" si="0"/>
        <v>52.900000000000006</v>
      </c>
      <c r="H8" s="14">
        <v>3</v>
      </c>
      <c r="I8" s="13">
        <f>3.1+3+2.9+4+3.9+3.8</f>
        <v>20.7</v>
      </c>
      <c r="J8" s="13">
        <f>2.8+2.7+2.7+3.9+3.8+3.7</f>
        <v>19.599999999999998</v>
      </c>
      <c r="K8" s="13">
        <f t="shared" si="1"/>
        <v>40.299999999999997</v>
      </c>
      <c r="L8" s="14">
        <v>18</v>
      </c>
      <c r="M8" s="13">
        <f>2.8+2.8+2.7+3.9+3.9+3.8</f>
        <v>19.900000000000002</v>
      </c>
      <c r="N8" s="13">
        <f>2.6+2.7+2.7+3.9+3.7+3.7</f>
        <v>19.3</v>
      </c>
      <c r="O8" s="13">
        <f>M8+N8</f>
        <v>39.200000000000003</v>
      </c>
      <c r="P8" s="14">
        <v>13</v>
      </c>
      <c r="Q8" s="15">
        <f t="shared" si="2"/>
        <v>34</v>
      </c>
    </row>
    <row r="9" spans="1:17" x14ac:dyDescent="0.25">
      <c r="A9" s="12">
        <v>4</v>
      </c>
      <c r="B9" s="12" t="s">
        <v>100</v>
      </c>
      <c r="C9" s="12" t="s">
        <v>5</v>
      </c>
      <c r="D9" s="13">
        <v>18.2</v>
      </c>
      <c r="E9" s="13">
        <v>18.100000000000001</v>
      </c>
      <c r="F9" s="13">
        <v>18</v>
      </c>
      <c r="G9" s="13">
        <f t="shared" si="0"/>
        <v>54.3</v>
      </c>
      <c r="H9" s="14">
        <v>13</v>
      </c>
      <c r="I9" s="13">
        <f>3.1+2.9+3+3.9+3.8+3.9</f>
        <v>20.599999999999998</v>
      </c>
      <c r="J9" s="13">
        <f>2.7+2.7+2.7+3.8+3.7+3.6</f>
        <v>19.200000000000003</v>
      </c>
      <c r="K9" s="13">
        <f t="shared" si="1"/>
        <v>39.799999999999997</v>
      </c>
      <c r="L9" s="14">
        <v>13</v>
      </c>
      <c r="M9" s="13"/>
      <c r="N9" s="13"/>
      <c r="O9" s="13"/>
      <c r="P9" s="14"/>
      <c r="Q9" s="15">
        <f t="shared" si="2"/>
        <v>26</v>
      </c>
    </row>
    <row r="10" spans="1:17" x14ac:dyDescent="0.25">
      <c r="A10" s="12">
        <v>5</v>
      </c>
      <c r="B10" s="12" t="s">
        <v>419</v>
      </c>
      <c r="C10" s="12" t="s">
        <v>15</v>
      </c>
      <c r="D10" s="13">
        <v>16.5</v>
      </c>
      <c r="E10" s="13">
        <v>16.5</v>
      </c>
      <c r="F10" s="13">
        <v>14.7</v>
      </c>
      <c r="G10" s="13">
        <f t="shared" si="0"/>
        <v>47.7</v>
      </c>
      <c r="H10" s="14">
        <v>3</v>
      </c>
      <c r="I10" s="13">
        <f>2.7+2.6+2.7+3.7+3.7+3.7</f>
        <v>19.099999999999998</v>
      </c>
      <c r="J10" s="13">
        <f>2.3+2.3+2.1+3.4+3.2+3.1</f>
        <v>16.400000000000002</v>
      </c>
      <c r="K10" s="13">
        <f t="shared" si="1"/>
        <v>35.5</v>
      </c>
      <c r="L10" s="14">
        <v>3</v>
      </c>
      <c r="M10" s="13">
        <f>2.7+2.7+2.7+3.8+3.8+3.7</f>
        <v>19.400000000000002</v>
      </c>
      <c r="N10" s="13">
        <f>2.7+2.4+2.5+2.5+3.6+3.4+3.5</f>
        <v>20.599999999999998</v>
      </c>
      <c r="O10" s="13">
        <f t="shared" ref="O10:O20" si="3">M10+N10</f>
        <v>40</v>
      </c>
      <c r="P10" s="14">
        <v>18</v>
      </c>
      <c r="Q10" s="15">
        <f t="shared" si="2"/>
        <v>24</v>
      </c>
    </row>
    <row r="11" spans="1:17" x14ac:dyDescent="0.25">
      <c r="A11" s="12">
        <v>6</v>
      </c>
      <c r="B11" s="12" t="s">
        <v>103</v>
      </c>
      <c r="C11" s="12" t="s">
        <v>9</v>
      </c>
      <c r="D11" s="13">
        <v>18.7</v>
      </c>
      <c r="E11" s="13">
        <v>19</v>
      </c>
      <c r="F11" s="13">
        <v>17.100000000000001</v>
      </c>
      <c r="G11" s="13">
        <f t="shared" si="0"/>
        <v>54.800000000000004</v>
      </c>
      <c r="H11" s="14">
        <v>18</v>
      </c>
      <c r="I11" s="13">
        <f>3+2.9+3+3.8+3.9+3.8</f>
        <v>20.399999999999999</v>
      </c>
      <c r="J11" s="13">
        <f>2.7+2.6+2.6+3.6+3.6+3.7</f>
        <v>18.8</v>
      </c>
      <c r="K11" s="13">
        <f t="shared" si="1"/>
        <v>39.200000000000003</v>
      </c>
      <c r="L11" s="14">
        <v>3</v>
      </c>
      <c r="M11" s="13">
        <f>2.8+2.7+2.7+3.8+3.8+3.8</f>
        <v>19.600000000000001</v>
      </c>
      <c r="N11" s="13">
        <f>2.7+2.6+2.6+3.6+3.5+3.7</f>
        <v>18.7</v>
      </c>
      <c r="O11" s="13">
        <f t="shared" si="3"/>
        <v>38.299999999999997</v>
      </c>
      <c r="P11" s="14">
        <v>3</v>
      </c>
      <c r="Q11" s="15">
        <f t="shared" si="2"/>
        <v>24</v>
      </c>
    </row>
    <row r="12" spans="1:17" x14ac:dyDescent="0.25">
      <c r="A12" s="12">
        <v>7</v>
      </c>
      <c r="B12" s="12" t="s">
        <v>98</v>
      </c>
      <c r="C12" s="12" t="s">
        <v>29</v>
      </c>
      <c r="D12" s="13">
        <v>18.3</v>
      </c>
      <c r="E12" s="13">
        <v>17.600000000000001</v>
      </c>
      <c r="F12" s="13">
        <v>16.600000000000001</v>
      </c>
      <c r="G12" s="13">
        <f t="shared" si="0"/>
        <v>52.500000000000007</v>
      </c>
      <c r="H12" s="14">
        <v>3</v>
      </c>
      <c r="I12" s="13">
        <f>2.9+2.8+2.9+3.7+3.9+3.8</f>
        <v>20</v>
      </c>
      <c r="J12" s="13">
        <f>2.8+2.8+2.8+3.8+3.9+3.8</f>
        <v>19.899999999999999</v>
      </c>
      <c r="K12" s="13">
        <f t="shared" si="1"/>
        <v>39.9</v>
      </c>
      <c r="L12" s="14">
        <v>13</v>
      </c>
      <c r="M12" s="13">
        <f>2.7+2.7+2.7+3.7+3.6+3.6</f>
        <v>19</v>
      </c>
      <c r="N12" s="13">
        <f>2.7+2.5+2.4+3.8+3.5+3.5</f>
        <v>18.399999999999999</v>
      </c>
      <c r="O12" s="13">
        <f t="shared" si="3"/>
        <v>37.4</v>
      </c>
      <c r="P12" s="14">
        <v>3</v>
      </c>
      <c r="Q12" s="15">
        <f t="shared" si="2"/>
        <v>19</v>
      </c>
    </row>
    <row r="13" spans="1:17" x14ac:dyDescent="0.25">
      <c r="A13" s="12">
        <v>8</v>
      </c>
      <c r="B13" s="12" t="s">
        <v>102</v>
      </c>
      <c r="C13" s="12" t="s">
        <v>9</v>
      </c>
      <c r="D13" s="13">
        <v>18.2</v>
      </c>
      <c r="E13" s="13">
        <v>17.8</v>
      </c>
      <c r="F13" s="13">
        <v>17</v>
      </c>
      <c r="G13" s="13">
        <f t="shared" si="0"/>
        <v>53</v>
      </c>
      <c r="H13" s="14">
        <v>3</v>
      </c>
      <c r="I13" s="13">
        <f>2.9+3+2.9+3.8+3.9+3.9</f>
        <v>20.399999999999999</v>
      </c>
      <c r="J13" s="13">
        <f>2.8+2.7+2.6+3.6+3.6+3.6</f>
        <v>18.899999999999999</v>
      </c>
      <c r="K13" s="13">
        <f t="shared" si="1"/>
        <v>39.299999999999997</v>
      </c>
      <c r="L13" s="14">
        <v>3</v>
      </c>
      <c r="M13" s="13">
        <f>2.8+2.7+2.7+4+3.8+3.7</f>
        <v>19.7</v>
      </c>
      <c r="N13" s="13">
        <f>2.7+2.8+2.6+3.7+3.8+3.6</f>
        <v>19.200000000000003</v>
      </c>
      <c r="O13" s="13">
        <f t="shared" si="3"/>
        <v>38.900000000000006</v>
      </c>
      <c r="P13" s="14">
        <v>3</v>
      </c>
      <c r="Q13" s="15">
        <f t="shared" si="2"/>
        <v>9</v>
      </c>
    </row>
    <row r="14" spans="1:17" x14ac:dyDescent="0.25">
      <c r="A14" s="12">
        <v>9</v>
      </c>
      <c r="B14" s="12" t="s">
        <v>105</v>
      </c>
      <c r="C14" s="12" t="s">
        <v>69</v>
      </c>
      <c r="D14" s="13">
        <v>18.2</v>
      </c>
      <c r="E14" s="13">
        <v>18.2</v>
      </c>
      <c r="F14" s="13">
        <v>16.600000000000001</v>
      </c>
      <c r="G14" s="13">
        <f t="shared" si="0"/>
        <v>53</v>
      </c>
      <c r="H14" s="14">
        <v>3</v>
      </c>
      <c r="I14" s="13">
        <f>3.1+2.9+2.8+3.9+3.9+3.7</f>
        <v>20.3</v>
      </c>
      <c r="J14" s="13">
        <f>2.8+2.7+2.6+3.8+3.8+3.7</f>
        <v>19.399999999999999</v>
      </c>
      <c r="K14" s="13">
        <f t="shared" si="1"/>
        <v>39.700000000000003</v>
      </c>
      <c r="L14" s="14">
        <v>3</v>
      </c>
      <c r="M14" s="13">
        <f>2.7+2.7+2.7+3.7+3.8+3.7</f>
        <v>19.3</v>
      </c>
      <c r="N14" s="13">
        <f>2.8+2.7+2.7+3.8+3.6+3.7</f>
        <v>19.3</v>
      </c>
      <c r="O14" s="13">
        <f t="shared" si="3"/>
        <v>38.6</v>
      </c>
      <c r="P14" s="14">
        <v>3</v>
      </c>
      <c r="Q14" s="15">
        <f t="shared" si="2"/>
        <v>9</v>
      </c>
    </row>
    <row r="15" spans="1:17" x14ac:dyDescent="0.25">
      <c r="A15" s="12">
        <v>10</v>
      </c>
      <c r="B15" s="12" t="s">
        <v>96</v>
      </c>
      <c r="C15" s="12" t="s">
        <v>6</v>
      </c>
      <c r="D15" s="13">
        <v>18.399999999999999</v>
      </c>
      <c r="E15" s="13">
        <v>17.3</v>
      </c>
      <c r="F15" s="13">
        <v>15.5</v>
      </c>
      <c r="G15" s="13">
        <f t="shared" si="0"/>
        <v>51.2</v>
      </c>
      <c r="H15" s="14">
        <v>3</v>
      </c>
      <c r="I15" s="13">
        <v>19.2</v>
      </c>
      <c r="J15" s="13">
        <v>18.5</v>
      </c>
      <c r="K15" s="13">
        <f t="shared" si="1"/>
        <v>37.700000000000003</v>
      </c>
      <c r="L15" s="14">
        <v>3</v>
      </c>
      <c r="M15" s="13">
        <f>2.8+2.7+2.8+4+3.8+3.8</f>
        <v>19.900000000000002</v>
      </c>
      <c r="N15" s="13">
        <f>2.8+2.6+2.6+3.8+3.4+3.4</f>
        <v>18.600000000000001</v>
      </c>
      <c r="O15" s="13">
        <f t="shared" si="3"/>
        <v>38.5</v>
      </c>
      <c r="P15" s="14">
        <v>3</v>
      </c>
      <c r="Q15" s="15">
        <f t="shared" si="2"/>
        <v>9</v>
      </c>
    </row>
    <row r="16" spans="1:17" x14ac:dyDescent="0.25">
      <c r="A16" s="12">
        <v>11</v>
      </c>
      <c r="B16" s="12" t="s">
        <v>683</v>
      </c>
      <c r="C16" s="12" t="s">
        <v>15</v>
      </c>
      <c r="D16" s="13">
        <v>17.7</v>
      </c>
      <c r="E16" s="13">
        <v>17.8</v>
      </c>
      <c r="F16" s="13">
        <v>16.399999999999999</v>
      </c>
      <c r="G16" s="13">
        <f t="shared" si="0"/>
        <v>51.9</v>
      </c>
      <c r="H16" s="14">
        <v>3</v>
      </c>
      <c r="I16" s="13">
        <f>2.6+2.7+2.7+3.7+3.8+3.8</f>
        <v>19.3</v>
      </c>
      <c r="J16" s="13">
        <f>2.3+2.2+2.2+3.3+3.2+3.2</f>
        <v>16.399999999999999</v>
      </c>
      <c r="K16" s="13">
        <f t="shared" si="1"/>
        <v>35.700000000000003</v>
      </c>
      <c r="L16" s="14">
        <v>3</v>
      </c>
      <c r="M16" s="13">
        <f>2.7+2.7+2.7+3.8+3.9+3.8</f>
        <v>19.600000000000001</v>
      </c>
      <c r="N16" s="13">
        <f>2.7+2.4+2.6+3.6+3.4+3.5</f>
        <v>18.2</v>
      </c>
      <c r="O16" s="13">
        <f t="shared" si="3"/>
        <v>37.799999999999997</v>
      </c>
      <c r="P16" s="14">
        <v>3</v>
      </c>
      <c r="Q16" s="15">
        <f t="shared" si="2"/>
        <v>9</v>
      </c>
    </row>
    <row r="17" spans="1:17" x14ac:dyDescent="0.25">
      <c r="A17" s="12">
        <v>12</v>
      </c>
      <c r="B17" s="16" t="s">
        <v>415</v>
      </c>
      <c r="C17" s="12" t="s">
        <v>82</v>
      </c>
      <c r="D17" s="13"/>
      <c r="E17" s="13"/>
      <c r="F17" s="13"/>
      <c r="G17" s="13"/>
      <c r="H17" s="14"/>
      <c r="I17" s="13">
        <f>2.9+2.8+2.9+3.8+3.8+3.9</f>
        <v>20.099999999999998</v>
      </c>
      <c r="J17" s="13">
        <f>2.8+2.7+2.7+3.7+3.6+3.7</f>
        <v>19.2</v>
      </c>
      <c r="K17" s="13">
        <f t="shared" si="1"/>
        <v>39.299999999999997</v>
      </c>
      <c r="L17" s="14">
        <v>3</v>
      </c>
      <c r="M17" s="13">
        <f>2.8+2.7+2.7+3.8+3.7+3.6</f>
        <v>19.3</v>
      </c>
      <c r="N17" s="13">
        <f>2.7+2.7+2.6+3.6+3.6+3.5</f>
        <v>18.7</v>
      </c>
      <c r="O17" s="13">
        <f t="shared" si="3"/>
        <v>38</v>
      </c>
      <c r="P17" s="14">
        <v>3</v>
      </c>
      <c r="Q17" s="15">
        <f t="shared" si="2"/>
        <v>6</v>
      </c>
    </row>
    <row r="18" spans="1:17" x14ac:dyDescent="0.25">
      <c r="A18" s="12">
        <v>13</v>
      </c>
      <c r="B18" s="16" t="s">
        <v>423</v>
      </c>
      <c r="C18" s="12" t="s">
        <v>82</v>
      </c>
      <c r="D18" s="13"/>
      <c r="E18" s="13"/>
      <c r="F18" s="13"/>
      <c r="G18" s="13"/>
      <c r="H18" s="14"/>
      <c r="I18" s="13">
        <f>2.7+2.6+2.6+3.7+3.7+3.6</f>
        <v>18.900000000000002</v>
      </c>
      <c r="J18" s="13">
        <f>2.4+2.3+2.2+3.4+3.4+3.4</f>
        <v>17.099999999999998</v>
      </c>
      <c r="K18" s="13">
        <f t="shared" si="1"/>
        <v>36</v>
      </c>
      <c r="L18" s="14">
        <v>3</v>
      </c>
      <c r="M18" s="13">
        <f>2.6+2.6+2.7+3.6+3.4+3.5</f>
        <v>18.399999999999999</v>
      </c>
      <c r="N18" s="13">
        <f>2.4+2.5+2.4+3.6+3.5+3.3</f>
        <v>17.7</v>
      </c>
      <c r="O18" s="13">
        <f t="shared" si="3"/>
        <v>36.099999999999994</v>
      </c>
      <c r="P18" s="14">
        <v>3</v>
      </c>
      <c r="Q18" s="15">
        <f t="shared" si="2"/>
        <v>6</v>
      </c>
    </row>
    <row r="19" spans="1:17" x14ac:dyDescent="0.25">
      <c r="A19" s="12">
        <v>14</v>
      </c>
      <c r="B19" s="16" t="s">
        <v>418</v>
      </c>
      <c r="C19" s="12" t="s">
        <v>15</v>
      </c>
      <c r="D19" s="13"/>
      <c r="E19" s="13"/>
      <c r="F19" s="13"/>
      <c r="G19" s="13"/>
      <c r="H19" s="14"/>
      <c r="I19" s="13">
        <f>2.5+2.6+2.6+3.6+3.6+3.7</f>
        <v>18.599999999999998</v>
      </c>
      <c r="J19" s="13">
        <f>2.5+2.4+2.4+3.5+3.3+3.3</f>
        <v>17.400000000000002</v>
      </c>
      <c r="K19" s="13">
        <f t="shared" si="1"/>
        <v>36</v>
      </c>
      <c r="L19" s="14">
        <v>3</v>
      </c>
      <c r="M19" s="13">
        <f>2.6+2.6+2.7+3.7+3.7+3.6</f>
        <v>18.900000000000002</v>
      </c>
      <c r="N19" s="13">
        <f>2.2+2.2+2.3+3.2+3.2+3.3</f>
        <v>16.400000000000002</v>
      </c>
      <c r="O19" s="13">
        <f t="shared" si="3"/>
        <v>35.300000000000004</v>
      </c>
      <c r="P19" s="14">
        <v>3</v>
      </c>
      <c r="Q19" s="15">
        <f t="shared" si="2"/>
        <v>6</v>
      </c>
    </row>
    <row r="20" spans="1:17" x14ac:dyDescent="0.25">
      <c r="A20" s="12">
        <v>15</v>
      </c>
      <c r="B20" s="16" t="s">
        <v>414</v>
      </c>
      <c r="C20" s="12" t="s">
        <v>82</v>
      </c>
      <c r="D20" s="13"/>
      <c r="E20" s="13"/>
      <c r="F20" s="13"/>
      <c r="G20" s="13"/>
      <c r="H20" s="14"/>
      <c r="I20" s="13">
        <f>2.5+2.6+2.6+3.6+3.6+3.6+3.6</f>
        <v>22.1</v>
      </c>
      <c r="J20" s="13">
        <f>2.3+2.2+2.2+3.4+3.3+3.3</f>
        <v>16.7</v>
      </c>
      <c r="K20" s="13">
        <f t="shared" si="1"/>
        <v>38.799999999999997</v>
      </c>
      <c r="L20" s="14">
        <v>3</v>
      </c>
      <c r="M20" s="13">
        <f>2.5+2.6+2.5+3.6+3.4+3.5</f>
        <v>18.100000000000001</v>
      </c>
      <c r="N20" s="13">
        <f>2.4+2.2+2.3+3.3+3.3+3.2</f>
        <v>16.7</v>
      </c>
      <c r="O20" s="13">
        <f t="shared" si="3"/>
        <v>34.799999999999997</v>
      </c>
      <c r="P20" s="14">
        <v>3</v>
      </c>
      <c r="Q20" s="15">
        <f t="shared" si="2"/>
        <v>6</v>
      </c>
    </row>
    <row r="21" spans="1:17" x14ac:dyDescent="0.25">
      <c r="A21" s="12">
        <v>16</v>
      </c>
      <c r="B21" s="12" t="s">
        <v>99</v>
      </c>
      <c r="C21" s="12" t="s">
        <v>12</v>
      </c>
      <c r="D21" s="13">
        <v>18</v>
      </c>
      <c r="E21" s="13">
        <v>17.8</v>
      </c>
      <c r="F21" s="13">
        <v>15.8</v>
      </c>
      <c r="G21" s="13">
        <f>SUM(D21:F21)</f>
        <v>51.599999999999994</v>
      </c>
      <c r="H21" s="14">
        <v>3</v>
      </c>
      <c r="I21" s="13">
        <f>3+2.9+3+3.8+3.9+3.7</f>
        <v>20.299999999999997</v>
      </c>
      <c r="J21" s="13">
        <f>2.6+2.5+2.6+3.6+3.5+3.5</f>
        <v>18.299999999999997</v>
      </c>
      <c r="K21" s="13">
        <f t="shared" si="1"/>
        <v>38.599999999999994</v>
      </c>
      <c r="L21" s="14">
        <v>3</v>
      </c>
      <c r="M21" s="13"/>
      <c r="N21" s="13"/>
      <c r="O21" s="13"/>
      <c r="P21" s="14"/>
      <c r="Q21" s="15">
        <f t="shared" si="2"/>
        <v>6</v>
      </c>
    </row>
    <row r="22" spans="1:17" x14ac:dyDescent="0.25">
      <c r="A22" s="12">
        <v>17</v>
      </c>
      <c r="B22" s="12" t="s">
        <v>106</v>
      </c>
      <c r="C22" s="12" t="s">
        <v>6</v>
      </c>
      <c r="D22" s="13">
        <v>17.399999999999999</v>
      </c>
      <c r="E22" s="13">
        <v>17.5</v>
      </c>
      <c r="F22" s="13">
        <v>14.6</v>
      </c>
      <c r="G22" s="13">
        <f>SUM(D22:F22)</f>
        <v>49.5</v>
      </c>
      <c r="H22" s="14">
        <v>3</v>
      </c>
      <c r="I22" s="13">
        <f>3+2.8+2.8+3.9+3.8+3.8</f>
        <v>20.100000000000001</v>
      </c>
      <c r="J22" s="13">
        <f>2.4+2.4+2.5+3.5+3.4+3.4</f>
        <v>17.600000000000001</v>
      </c>
      <c r="K22" s="13">
        <f t="shared" si="1"/>
        <v>37.700000000000003</v>
      </c>
      <c r="L22" s="14">
        <v>3</v>
      </c>
      <c r="M22" s="13"/>
      <c r="N22" s="13"/>
      <c r="O22" s="13"/>
      <c r="P22" s="14"/>
      <c r="Q22" s="15">
        <f t="shared" si="2"/>
        <v>6</v>
      </c>
    </row>
    <row r="23" spans="1:17" x14ac:dyDescent="0.25">
      <c r="A23" s="12">
        <v>18</v>
      </c>
      <c r="B23" s="12" t="s">
        <v>107</v>
      </c>
      <c r="C23" s="12" t="s">
        <v>15</v>
      </c>
      <c r="D23" s="13">
        <v>15.4</v>
      </c>
      <c r="E23" s="13">
        <v>16.399999999999999</v>
      </c>
      <c r="F23" s="13">
        <v>13</v>
      </c>
      <c r="G23" s="13">
        <f>SUM(D23:F23)</f>
        <v>44.8</v>
      </c>
      <c r="H23" s="14">
        <v>3</v>
      </c>
      <c r="I23" s="13">
        <f>2.5+2.5+2.5+3.5+3.6+3.6</f>
        <v>18.2</v>
      </c>
      <c r="J23" s="13">
        <f>2.2+2.1+2.1+3.2+3.1+3.1</f>
        <v>15.8</v>
      </c>
      <c r="K23" s="13">
        <f t="shared" si="1"/>
        <v>34</v>
      </c>
      <c r="L23" s="14">
        <v>3</v>
      </c>
      <c r="M23" s="13"/>
      <c r="N23" s="13"/>
      <c r="O23" s="13"/>
      <c r="P23" s="14"/>
      <c r="Q23" s="15">
        <f t="shared" si="2"/>
        <v>6</v>
      </c>
    </row>
    <row r="24" spans="1:17" x14ac:dyDescent="0.25">
      <c r="A24" s="12">
        <v>19</v>
      </c>
      <c r="B24" s="16" t="s">
        <v>684</v>
      </c>
      <c r="C24" s="12" t="s">
        <v>57</v>
      </c>
      <c r="D24" s="13"/>
      <c r="E24" s="13"/>
      <c r="F24" s="13"/>
      <c r="G24" s="13"/>
      <c r="H24" s="14"/>
      <c r="I24" s="13"/>
      <c r="J24" s="13"/>
      <c r="K24" s="13"/>
      <c r="L24" s="14"/>
      <c r="M24" s="13">
        <f>2.7+2.7+2.7+3.9+3.7+3.8</f>
        <v>19.500000000000004</v>
      </c>
      <c r="N24" s="13">
        <f>2.7+2.7+2.6+3.8+3.5+3.6</f>
        <v>18.900000000000002</v>
      </c>
      <c r="O24" s="13">
        <f>M24+N24</f>
        <v>38.400000000000006</v>
      </c>
      <c r="P24" s="14">
        <v>3</v>
      </c>
      <c r="Q24" s="15">
        <f t="shared" si="2"/>
        <v>3</v>
      </c>
    </row>
    <row r="25" spans="1:17" x14ac:dyDescent="0.25">
      <c r="A25" s="12">
        <v>20</v>
      </c>
      <c r="B25" s="16" t="s">
        <v>422</v>
      </c>
      <c r="C25" s="12" t="s">
        <v>29</v>
      </c>
      <c r="D25" s="13"/>
      <c r="E25" s="13"/>
      <c r="F25" s="13"/>
      <c r="G25" s="13"/>
      <c r="H25" s="14"/>
      <c r="I25" s="13">
        <f>2.8+2.8+2.7+3.8+3.7+3.9</f>
        <v>19.7</v>
      </c>
      <c r="J25" s="13">
        <f>2.6+2.4+2.3+3.6+3.5+3.5</f>
        <v>17.899999999999999</v>
      </c>
      <c r="K25" s="13">
        <f>SUM(I25:J25)</f>
        <v>37.599999999999994</v>
      </c>
      <c r="L25" s="14">
        <v>3</v>
      </c>
      <c r="M25" s="13"/>
      <c r="N25" s="13"/>
      <c r="O25" s="13"/>
      <c r="P25" s="14"/>
      <c r="Q25" s="15">
        <f t="shared" si="2"/>
        <v>3</v>
      </c>
    </row>
    <row r="26" spans="1:17" x14ac:dyDescent="0.25">
      <c r="A26" s="12">
        <v>21</v>
      </c>
      <c r="B26" s="16" t="s">
        <v>417</v>
      </c>
      <c r="C26" s="12" t="s">
        <v>82</v>
      </c>
      <c r="D26" s="13"/>
      <c r="E26" s="13"/>
      <c r="F26" s="13"/>
      <c r="G26" s="13"/>
      <c r="H26" s="14"/>
      <c r="I26" s="13">
        <f>2.6+2.6+2.6+3.6+3.7+3.6</f>
        <v>18.700000000000003</v>
      </c>
      <c r="J26" s="13">
        <f>2.3+2.2+2.1+3.3+3.2+3.2</f>
        <v>16.299999999999997</v>
      </c>
      <c r="K26" s="13">
        <f>SUM(I26:J26)</f>
        <v>35</v>
      </c>
      <c r="L26" s="14">
        <v>3</v>
      </c>
      <c r="M26" s="13"/>
      <c r="N26" s="13"/>
      <c r="O26" s="13"/>
      <c r="P26" s="14"/>
      <c r="Q26" s="15">
        <f t="shared" si="2"/>
        <v>3</v>
      </c>
    </row>
    <row r="27" spans="1:17" x14ac:dyDescent="0.25">
      <c r="A27" s="12">
        <v>22</v>
      </c>
      <c r="B27" s="16" t="s">
        <v>416</v>
      </c>
      <c r="C27" s="12" t="s">
        <v>82</v>
      </c>
      <c r="D27" s="13"/>
      <c r="E27" s="13"/>
      <c r="F27" s="13"/>
      <c r="G27" s="13"/>
      <c r="H27" s="14"/>
      <c r="I27" s="13">
        <f>2.6+2.5+2.5+3.7+3.6+3.7</f>
        <v>18.600000000000001</v>
      </c>
      <c r="J27" s="13">
        <f>2.2+2+2.2+3.2+3.1+3.3</f>
        <v>16</v>
      </c>
      <c r="K27" s="13">
        <f>SUM(I27:J27)</f>
        <v>34.6</v>
      </c>
      <c r="L27" s="14">
        <v>3</v>
      </c>
      <c r="M27" s="13"/>
      <c r="N27" s="13"/>
      <c r="O27" s="13"/>
      <c r="P27" s="14"/>
      <c r="Q27" s="15">
        <f t="shared" si="2"/>
        <v>3</v>
      </c>
    </row>
    <row r="28" spans="1:17" x14ac:dyDescent="0.25">
      <c r="A28" s="12">
        <v>23</v>
      </c>
      <c r="B28" s="12" t="s">
        <v>109</v>
      </c>
      <c r="C28" s="12" t="s">
        <v>91</v>
      </c>
      <c r="D28" s="13">
        <v>18.399999999999999</v>
      </c>
      <c r="E28" s="13">
        <v>18.7</v>
      </c>
      <c r="F28" s="13">
        <v>16.600000000000001</v>
      </c>
      <c r="G28" s="13">
        <f>SUM(D28:F28)</f>
        <v>53.699999999999996</v>
      </c>
      <c r="H28" s="14">
        <v>3</v>
      </c>
      <c r="I28" s="13"/>
      <c r="J28" s="13"/>
      <c r="K28" s="13"/>
      <c r="L28" s="14"/>
      <c r="M28" s="13"/>
      <c r="N28" s="13"/>
      <c r="O28" s="13"/>
      <c r="P28" s="14"/>
      <c r="Q28" s="15">
        <f t="shared" si="2"/>
        <v>3</v>
      </c>
    </row>
    <row r="29" spans="1:17" x14ac:dyDescent="0.25">
      <c r="A29" s="12">
        <v>24</v>
      </c>
      <c r="B29" s="12" t="s">
        <v>110</v>
      </c>
      <c r="C29" s="12" t="s">
        <v>91</v>
      </c>
      <c r="D29" s="13">
        <v>16.600000000000001</v>
      </c>
      <c r="E29" s="13">
        <v>17.600000000000001</v>
      </c>
      <c r="F29" s="13">
        <v>16.3</v>
      </c>
      <c r="G29" s="13">
        <f>SUM(D29:F29)</f>
        <v>50.5</v>
      </c>
      <c r="H29" s="14">
        <v>3</v>
      </c>
      <c r="I29" s="13"/>
      <c r="J29" s="13"/>
      <c r="K29" s="13"/>
      <c r="L29" s="14"/>
      <c r="M29" s="13"/>
      <c r="N29" s="13"/>
      <c r="O29" s="13"/>
      <c r="P29" s="14"/>
      <c r="Q29" s="15">
        <f t="shared" si="2"/>
        <v>3</v>
      </c>
    </row>
    <row r="30" spans="1:17" x14ac:dyDescent="0.25">
      <c r="A30" s="12">
        <v>25</v>
      </c>
      <c r="B30" s="12" t="s">
        <v>108</v>
      </c>
      <c r="C30" s="12" t="s">
        <v>69</v>
      </c>
      <c r="D30" s="13">
        <v>14.5</v>
      </c>
      <c r="E30" s="13">
        <v>16.7</v>
      </c>
      <c r="F30" s="13">
        <v>12</v>
      </c>
      <c r="G30" s="13">
        <f>SUM(D30:F30)</f>
        <v>43.2</v>
      </c>
      <c r="H30" s="14">
        <v>3</v>
      </c>
      <c r="I30" s="13"/>
      <c r="J30" s="13"/>
      <c r="K30" s="13"/>
      <c r="L30" s="14"/>
      <c r="M30" s="13"/>
      <c r="N30" s="13"/>
      <c r="O30" s="13"/>
      <c r="P30" s="14"/>
      <c r="Q30" s="15">
        <f t="shared" si="2"/>
        <v>3</v>
      </c>
    </row>
    <row r="31" spans="1:17" ht="30" x14ac:dyDescent="0.25">
      <c r="A31" s="12">
        <v>26</v>
      </c>
      <c r="B31" s="16" t="s">
        <v>413</v>
      </c>
      <c r="C31" s="12" t="s">
        <v>82</v>
      </c>
      <c r="D31" s="13"/>
      <c r="E31" s="13"/>
      <c r="F31" s="13"/>
      <c r="G31" s="13"/>
      <c r="H31" s="14"/>
      <c r="I31" s="13"/>
      <c r="J31" s="13"/>
      <c r="K31" s="13"/>
      <c r="L31" s="14"/>
      <c r="M31" s="13"/>
      <c r="N31" s="13"/>
      <c r="O31" s="13"/>
      <c r="P31" s="14"/>
      <c r="Q31" s="15"/>
    </row>
    <row r="32" spans="1:17" x14ac:dyDescent="0.25">
      <c r="A32" s="12">
        <v>27</v>
      </c>
      <c r="B32" s="16" t="s">
        <v>420</v>
      </c>
      <c r="C32" s="12" t="s">
        <v>384</v>
      </c>
      <c r="D32" s="13"/>
      <c r="E32" s="13"/>
      <c r="F32" s="13"/>
      <c r="G32" s="13"/>
      <c r="H32" s="14"/>
      <c r="I32" s="13"/>
      <c r="J32" s="13"/>
      <c r="K32" s="13"/>
      <c r="L32" s="14"/>
      <c r="M32" s="13"/>
      <c r="N32" s="13"/>
      <c r="O32" s="13"/>
      <c r="P32" s="14"/>
      <c r="Q32" s="15"/>
    </row>
    <row r="33" spans="1:17" x14ac:dyDescent="0.25">
      <c r="A33" s="12">
        <v>28</v>
      </c>
      <c r="B33" s="16" t="s">
        <v>421</v>
      </c>
      <c r="C33" s="12" t="s">
        <v>384</v>
      </c>
      <c r="D33" s="13"/>
      <c r="E33" s="13"/>
      <c r="F33" s="13"/>
      <c r="G33" s="13"/>
      <c r="H33" s="14"/>
      <c r="I33" s="13"/>
      <c r="J33" s="13"/>
      <c r="K33" s="13"/>
      <c r="L33" s="14"/>
      <c r="M33" s="13"/>
      <c r="N33" s="13"/>
      <c r="O33" s="13"/>
      <c r="P33" s="14"/>
      <c r="Q33" s="15"/>
    </row>
  </sheetData>
  <sortState ref="B4:Q31">
    <sortCondition descending="1" ref="Q4:Q31"/>
  </sortState>
  <mergeCells count="1">
    <mergeCell ref="A1:G1"/>
  </mergeCells>
  <pageMargins left="0.7" right="0.7" top="0.75" bottom="0.75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43</vt:i4>
      </vt:variant>
    </vt:vector>
  </HeadingPairs>
  <TitlesOfParts>
    <vt:vector size="43" baseType="lpstr">
      <vt:lpstr>PRE INF M</vt:lpstr>
      <vt:lpstr>PRE INF F</vt:lpstr>
      <vt:lpstr>INF A1 F</vt:lpstr>
      <vt:lpstr>INF A1 M</vt:lpstr>
      <vt:lpstr>INF A2 F</vt:lpstr>
      <vt:lpstr>INF A2 M</vt:lpstr>
      <vt:lpstr>INF A3 M</vt:lpstr>
      <vt:lpstr>INF A3 F</vt:lpstr>
      <vt:lpstr>INF B1 F</vt:lpstr>
      <vt:lpstr>INF B1 M</vt:lpstr>
      <vt:lpstr>INF B2 M</vt:lpstr>
      <vt:lpstr>INF B2 F</vt:lpstr>
      <vt:lpstr>INF B3 M</vt:lpstr>
      <vt:lpstr>INF B3 F</vt:lpstr>
      <vt:lpstr>INF C1 M</vt:lpstr>
      <vt:lpstr>INF C1 F</vt:lpstr>
      <vt:lpstr>INF C2 F</vt:lpstr>
      <vt:lpstr>INF C2 M</vt:lpstr>
      <vt:lpstr>INF C3 F</vt:lpstr>
      <vt:lpstr>INF C3 M</vt:lpstr>
      <vt:lpstr>INF C4 M</vt:lpstr>
      <vt:lpstr>INF D1 M</vt:lpstr>
      <vt:lpstr>INF D1 F</vt:lpstr>
      <vt:lpstr>INF D2 M</vt:lpstr>
      <vt:lpstr>INF D2 F</vt:lpstr>
      <vt:lpstr>INF D3 F</vt:lpstr>
      <vt:lpstr>INF D3 M</vt:lpstr>
      <vt:lpstr>INF D4 F</vt:lpstr>
      <vt:lpstr>INF D4 M</vt:lpstr>
      <vt:lpstr>INF PAR A1</vt:lpstr>
      <vt:lpstr>INF PAR B1</vt:lpstr>
      <vt:lpstr>INF PAR B2</vt:lpstr>
      <vt:lpstr>INF PAR C1</vt:lpstr>
      <vt:lpstr>INF PAR C2</vt:lpstr>
      <vt:lpstr>INF PAR D1</vt:lpstr>
      <vt:lpstr>INF PAR D2</vt:lpstr>
      <vt:lpstr>INF TRIO A1</vt:lpstr>
      <vt:lpstr>INF TRIO B1</vt:lpstr>
      <vt:lpstr>INF TRIO B2</vt:lpstr>
      <vt:lpstr>INF TRIO C1</vt:lpstr>
      <vt:lpstr>INF TRIO C2</vt:lpstr>
      <vt:lpstr>INF TRIO D1</vt:lpstr>
      <vt:lpstr>INF TRIO 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 belen garcia castro</cp:lastModifiedBy>
  <cp:lastPrinted>2023-05-21T16:44:03Z</cp:lastPrinted>
  <dcterms:created xsi:type="dcterms:W3CDTF">2023-01-23T10:27:00Z</dcterms:created>
  <dcterms:modified xsi:type="dcterms:W3CDTF">2023-05-21T18:07:22Z</dcterms:modified>
</cp:coreProperties>
</file>